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_CURRENT PROJECTS/UDEMY COURSES/Real Estate Fixes/"/>
    </mc:Choice>
  </mc:AlternateContent>
  <xr:revisionPtr revIDLastSave="0" documentId="13_ncr:1_{4B24079E-FC0B-EF48-99C5-9EA317052614}" xr6:coauthVersionLast="36" xr6:coauthVersionMax="36" xr10:uidLastSave="{00000000-0000-0000-0000-000000000000}"/>
  <bookViews>
    <workbookView xWindow="0" yWindow="460" windowWidth="38400" windowHeight="21140" tabRatio="500" activeTab="1" xr2:uid="{00000000-000D-0000-FFFF-FFFF00000000}"/>
  </bookViews>
  <sheets>
    <sheet name="Research" sheetId="2" r:id="rId1"/>
    <sheet name="BOE Model" sheetId="1" r:id="rId2"/>
    <sheet name="Las Vegas Example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 l="1"/>
  <c r="C55" i="1"/>
  <c r="C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D35" i="1"/>
  <c r="D37" i="1" s="1"/>
  <c r="D48" i="1" s="1"/>
  <c r="AZ48" i="1"/>
  <c r="AY48" i="1"/>
  <c r="AY52" i="1" s="1"/>
  <c r="AX48" i="1"/>
  <c r="AW48" i="1"/>
  <c r="AW52" i="1" s="1"/>
  <c r="AV48" i="1"/>
  <c r="AU48" i="1"/>
  <c r="AT48" i="1"/>
  <c r="AS48" i="1"/>
  <c r="AR48" i="1"/>
  <c r="AQ48" i="1"/>
  <c r="AP48" i="1"/>
  <c r="AO48" i="1"/>
  <c r="AO52" i="1" s="1"/>
  <c r="AN48" i="1"/>
  <c r="AM48" i="1"/>
  <c r="AM52" i="1" s="1"/>
  <c r="AL48" i="1"/>
  <c r="AK48" i="1"/>
  <c r="AJ48" i="1"/>
  <c r="AI48" i="1"/>
  <c r="AH48" i="1"/>
  <c r="AG48" i="1"/>
  <c r="AG52" i="1" s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AF44" i="1" s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E40" i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D40" i="1"/>
  <c r="D41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D43" i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D44" i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Z49" i="1"/>
  <c r="AY49" i="1"/>
  <c r="AX49" i="1"/>
  <c r="AW49" i="1"/>
  <c r="AV49" i="1"/>
  <c r="AV52" i="1" s="1"/>
  <c r="AU49" i="1"/>
  <c r="AU52" i="1" s="1"/>
  <c r="AT49" i="1"/>
  <c r="AT52" i="1" s="1"/>
  <c r="AS49" i="1"/>
  <c r="AR49" i="1"/>
  <c r="AQ49" i="1"/>
  <c r="AQ52" i="1" s="1"/>
  <c r="AP49" i="1"/>
  <c r="AO49" i="1"/>
  <c r="AN49" i="1"/>
  <c r="AN52" i="1" s="1"/>
  <c r="AM49" i="1"/>
  <c r="AL49" i="1"/>
  <c r="AL52" i="1" s="1"/>
  <c r="AK49" i="1"/>
  <c r="AJ49" i="1"/>
  <c r="AI49" i="1"/>
  <c r="AI52" i="1" s="1"/>
  <c r="AH49" i="1"/>
  <c r="AG49" i="1"/>
  <c r="AF49" i="1"/>
  <c r="C49" i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C48" i="1"/>
  <c r="C43" i="1"/>
  <c r="C38" i="1"/>
  <c r="C37" i="1"/>
  <c r="C22" i="1"/>
  <c r="D52" i="1" l="1"/>
  <c r="AP52" i="1"/>
  <c r="AX52" i="1"/>
  <c r="C52" i="1"/>
  <c r="AJ52" i="1"/>
  <c r="AR52" i="1"/>
  <c r="AZ52" i="1"/>
  <c r="AK52" i="1"/>
  <c r="AS52" i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H52" i="1"/>
  <c r="C59" i="1"/>
  <c r="D55" i="1" s="1"/>
  <c r="D56" i="1" s="1"/>
  <c r="C44" i="1"/>
  <c r="C45" i="1"/>
  <c r="C46" i="1"/>
  <c r="C42" i="1"/>
  <c r="A37" i="1"/>
  <c r="A38" i="1"/>
  <c r="A39" i="1"/>
  <c r="A40" i="1"/>
  <c r="A41" i="1"/>
  <c r="A43" i="1"/>
  <c r="A44" i="1"/>
  <c r="A45" i="1"/>
  <c r="A46" i="1"/>
  <c r="A42" i="1"/>
  <c r="I19" i="2" l="1"/>
  <c r="I16" i="2"/>
  <c r="I15" i="2"/>
  <c r="I50" i="2"/>
  <c r="I48" i="2"/>
  <c r="I47" i="2"/>
  <c r="I44" i="2"/>
  <c r="I43" i="2"/>
  <c r="I40" i="2"/>
  <c r="I20" i="2"/>
  <c r="B20" i="2" l="1"/>
  <c r="C20" i="3"/>
  <c r="D20" i="3"/>
  <c r="E20" i="3"/>
  <c r="F20" i="3"/>
  <c r="G20" i="3"/>
  <c r="H20" i="3"/>
  <c r="I20" i="3" s="1"/>
  <c r="B20" i="3"/>
  <c r="C41" i="1"/>
  <c r="I26" i="3"/>
  <c r="J50" i="3" s="1"/>
  <c r="J70" i="3" s="1"/>
  <c r="I70" i="3"/>
  <c r="I24" i="3"/>
  <c r="J48" i="3" s="1"/>
  <c r="J68" i="3" s="1"/>
  <c r="I68" i="3"/>
  <c r="I23" i="3"/>
  <c r="J47" i="3" s="1"/>
  <c r="J67" i="3" s="1"/>
  <c r="I67" i="3"/>
  <c r="I64" i="3"/>
  <c r="I9" i="3"/>
  <c r="J38" i="3" s="1"/>
  <c r="I62" i="3"/>
  <c r="I8" i="3"/>
  <c r="J37" i="3" s="1"/>
  <c r="I61" i="3"/>
  <c r="I7" i="3"/>
  <c r="J36" i="3" s="1"/>
  <c r="I60" i="3"/>
  <c r="I6" i="3"/>
  <c r="J35" i="3" s="1"/>
  <c r="I59" i="3"/>
  <c r="I50" i="3"/>
  <c r="I48" i="3"/>
  <c r="I47" i="3"/>
  <c r="H44" i="3"/>
  <c r="G44" i="3"/>
  <c r="F44" i="3"/>
  <c r="E44" i="3"/>
  <c r="D44" i="3"/>
  <c r="C44" i="3"/>
  <c r="B44" i="3"/>
  <c r="I15" i="3"/>
  <c r="J43" i="3" s="1"/>
  <c r="K43" i="3" s="1"/>
  <c r="I43" i="3"/>
  <c r="I11" i="3"/>
  <c r="J40" i="3"/>
  <c r="I40" i="3"/>
  <c r="I38" i="3"/>
  <c r="I37" i="3"/>
  <c r="I36" i="3"/>
  <c r="I35" i="3"/>
  <c r="I19" i="3"/>
  <c r="H16" i="3"/>
  <c r="G16" i="3"/>
  <c r="F16" i="3"/>
  <c r="E16" i="3"/>
  <c r="D16" i="3"/>
  <c r="C16" i="3"/>
  <c r="B16" i="3"/>
  <c r="I16" i="3" s="1"/>
  <c r="J44" i="3" s="1"/>
  <c r="K44" i="3" s="1"/>
  <c r="I13" i="3"/>
  <c r="D44" i="2"/>
  <c r="E44" i="2"/>
  <c r="F44" i="2"/>
  <c r="G44" i="2"/>
  <c r="H44" i="2"/>
  <c r="B44" i="2"/>
  <c r="C44" i="2"/>
  <c r="C20" i="2"/>
  <c r="D20" i="2"/>
  <c r="E20" i="2"/>
  <c r="F20" i="2"/>
  <c r="G20" i="2"/>
  <c r="H20" i="2"/>
  <c r="D16" i="2"/>
  <c r="E16" i="2"/>
  <c r="F16" i="2"/>
  <c r="G16" i="2"/>
  <c r="H16" i="2"/>
  <c r="B16" i="2"/>
  <c r="J44" i="2" s="1"/>
  <c r="C16" i="2"/>
  <c r="I26" i="2"/>
  <c r="J50" i="2" s="1"/>
  <c r="J70" i="2" s="1"/>
  <c r="I70" i="2"/>
  <c r="I24" i="2"/>
  <c r="J48" i="2" s="1"/>
  <c r="J68" i="2" s="1"/>
  <c r="I68" i="2"/>
  <c r="I23" i="2"/>
  <c r="J47" i="2" s="1"/>
  <c r="J67" i="2" s="1"/>
  <c r="I67" i="2"/>
  <c r="I64" i="2"/>
  <c r="I9" i="2"/>
  <c r="J38" i="2"/>
  <c r="K38" i="2" s="1"/>
  <c r="J62" i="2"/>
  <c r="I62" i="2"/>
  <c r="I8" i="2"/>
  <c r="J37" i="2" s="1"/>
  <c r="I61" i="2"/>
  <c r="I7" i="2"/>
  <c r="J36" i="2" s="1"/>
  <c r="I60" i="2"/>
  <c r="I6" i="2"/>
  <c r="J35" i="2"/>
  <c r="J59" i="2" s="1"/>
  <c r="I59" i="2"/>
  <c r="J43" i="2"/>
  <c r="K43" i="2" s="1"/>
  <c r="I11" i="2"/>
  <c r="J40" i="2" s="1"/>
  <c r="I38" i="2"/>
  <c r="I37" i="2"/>
  <c r="I36" i="2"/>
  <c r="I35" i="2"/>
  <c r="I13" i="2"/>
  <c r="C35" i="1"/>
  <c r="B4" i="1"/>
  <c r="C39" i="1"/>
  <c r="C40" i="1"/>
  <c r="C17" i="1"/>
  <c r="B18" i="1" s="1"/>
  <c r="B50" i="1"/>
  <c r="B52" i="1" s="1"/>
  <c r="I44" i="3"/>
  <c r="B61" i="1" l="1"/>
  <c r="K35" i="2"/>
  <c r="J60" i="2"/>
  <c r="K36" i="2"/>
  <c r="J61" i="2"/>
  <c r="K37" i="2"/>
  <c r="J62" i="3"/>
  <c r="K38" i="3"/>
  <c r="J59" i="3"/>
  <c r="K35" i="3"/>
  <c r="K37" i="3"/>
  <c r="J61" i="3"/>
  <c r="K44" i="2"/>
  <c r="B59" i="1"/>
  <c r="J60" i="3"/>
  <c r="K36" i="3"/>
  <c r="C61" i="1" l="1"/>
  <c r="D59" i="1"/>
  <c r="E55" i="1" s="1"/>
  <c r="E56" i="1" s="1"/>
  <c r="E37" i="1" l="1"/>
  <c r="E48" i="1" s="1"/>
  <c r="E52" i="1" s="1"/>
  <c r="E59" i="1"/>
  <c r="F55" i="1" s="1"/>
  <c r="F56" i="1" s="1"/>
  <c r="D61" i="1"/>
  <c r="F37" i="1" l="1"/>
  <c r="F48" i="1" s="1"/>
  <c r="F52" i="1" s="1"/>
  <c r="E61" i="1"/>
  <c r="F59" i="1"/>
  <c r="G55" i="1" s="1"/>
  <c r="G56" i="1" s="1"/>
  <c r="G37" i="1" l="1"/>
  <c r="G48" i="1" s="1"/>
  <c r="G52" i="1" s="1"/>
  <c r="F61" i="1"/>
  <c r="G59" i="1"/>
  <c r="H55" i="1" s="1"/>
  <c r="H56" i="1" s="1"/>
  <c r="H37" i="1" l="1"/>
  <c r="H48" i="1" s="1"/>
  <c r="H52" i="1" s="1"/>
  <c r="G61" i="1"/>
  <c r="H59" i="1"/>
  <c r="I55" i="1" s="1"/>
  <c r="I56" i="1" s="1"/>
  <c r="I37" i="1" l="1"/>
  <c r="I48" i="1" s="1"/>
  <c r="I52" i="1" s="1"/>
  <c r="I59" i="1"/>
  <c r="J55" i="1" s="1"/>
  <c r="J56" i="1" s="1"/>
  <c r="J37" i="1" l="1"/>
  <c r="J48" i="1"/>
  <c r="J52" i="1" s="1"/>
  <c r="H61" i="1"/>
  <c r="I3" i="1" s="1"/>
  <c r="H3" i="1"/>
  <c r="J61" i="1"/>
  <c r="K37" i="1" l="1"/>
  <c r="K48" i="1"/>
  <c r="K52" i="1" s="1"/>
  <c r="H2" i="1"/>
  <c r="H4" i="1"/>
  <c r="I61" i="1"/>
  <c r="I4" i="1" s="1"/>
  <c r="K61" i="1"/>
  <c r="I2" i="1"/>
  <c r="L37" i="1" l="1"/>
  <c r="L48" i="1"/>
  <c r="L52" i="1" s="1"/>
  <c r="J59" i="1"/>
  <c r="K55" i="1" s="1"/>
  <c r="K56" i="1" s="1"/>
  <c r="L61" i="1"/>
  <c r="M37" i="1" l="1"/>
  <c r="M48" i="1" s="1"/>
  <c r="M52" i="1" s="1"/>
  <c r="M61" i="1" s="1"/>
  <c r="K59" i="1"/>
  <c r="L55" i="1" s="1"/>
  <c r="L56" i="1" s="1"/>
  <c r="N37" i="1" l="1"/>
  <c r="N48" i="1" s="1"/>
  <c r="N52" i="1" s="1"/>
  <c r="N61" i="1" s="1"/>
  <c r="L59" i="1"/>
  <c r="M55" i="1" s="1"/>
  <c r="M56" i="1" s="1"/>
  <c r="O37" i="1" l="1"/>
  <c r="O48" i="1" s="1"/>
  <c r="O52" i="1" s="1"/>
  <c r="O61" i="1" s="1"/>
  <c r="M59" i="1"/>
  <c r="N55" i="1" s="1"/>
  <c r="N56" i="1" s="1"/>
  <c r="P37" i="1" l="1"/>
  <c r="P48" i="1" s="1"/>
  <c r="P52" i="1" s="1"/>
  <c r="P61" i="1" s="1"/>
  <c r="N59" i="1"/>
  <c r="O55" i="1" s="1"/>
  <c r="O56" i="1" s="1"/>
  <c r="Q37" i="1" l="1"/>
  <c r="Q48" i="1" s="1"/>
  <c r="Q52" i="1" s="1"/>
  <c r="Q61" i="1" s="1"/>
  <c r="O59" i="1"/>
  <c r="P55" i="1" s="1"/>
  <c r="P56" i="1" s="1"/>
  <c r="R37" i="1" l="1"/>
  <c r="R48" i="1"/>
  <c r="R52" i="1" s="1"/>
  <c r="R61" i="1" s="1"/>
  <c r="P59" i="1"/>
  <c r="Q55" i="1" s="1"/>
  <c r="Q56" i="1" s="1"/>
  <c r="S37" i="1" l="1"/>
  <c r="S48" i="1"/>
  <c r="S52" i="1" s="1"/>
  <c r="Q59" i="1"/>
  <c r="R55" i="1" s="1"/>
  <c r="R56" i="1" s="1"/>
  <c r="S61" i="1"/>
  <c r="T37" i="1" l="1"/>
  <c r="T48" i="1"/>
  <c r="T52" i="1" s="1"/>
  <c r="R59" i="1"/>
  <c r="S55" i="1" s="1"/>
  <c r="S56" i="1" s="1"/>
  <c r="T61" i="1"/>
  <c r="U37" i="1" l="1"/>
  <c r="U48" i="1" s="1"/>
  <c r="U52" i="1" s="1"/>
  <c r="U61" i="1" s="1"/>
  <c r="S59" i="1"/>
  <c r="T55" i="1" s="1"/>
  <c r="T56" i="1" s="1"/>
  <c r="V37" i="1" l="1"/>
  <c r="V48" i="1" s="1"/>
  <c r="V52" i="1" s="1"/>
  <c r="V61" i="1" s="1"/>
  <c r="T59" i="1"/>
  <c r="U55" i="1" s="1"/>
  <c r="U56" i="1" s="1"/>
  <c r="W37" i="1" l="1"/>
  <c r="W48" i="1" s="1"/>
  <c r="W52" i="1" s="1"/>
  <c r="W61" i="1" s="1"/>
  <c r="U59" i="1"/>
  <c r="V55" i="1" s="1"/>
  <c r="V56" i="1" s="1"/>
  <c r="X37" i="1" l="1"/>
  <c r="X48" i="1" s="1"/>
  <c r="X52" i="1" s="1"/>
  <c r="X61" i="1" s="1"/>
  <c r="V59" i="1"/>
  <c r="W55" i="1" s="1"/>
  <c r="W56" i="1" s="1"/>
  <c r="Y37" i="1" l="1"/>
  <c r="Y48" i="1" s="1"/>
  <c r="Y52" i="1" s="1"/>
  <c r="Y61" i="1" s="1"/>
  <c r="W59" i="1"/>
  <c r="X55" i="1" s="1"/>
  <c r="X56" i="1" s="1"/>
  <c r="Z37" i="1" l="1"/>
  <c r="Z48" i="1"/>
  <c r="Z52" i="1" s="1"/>
  <c r="Z61" i="1" s="1"/>
  <c r="X59" i="1"/>
  <c r="Y55" i="1" s="1"/>
  <c r="Y56" i="1" s="1"/>
  <c r="AA37" i="1" l="1"/>
  <c r="AA48" i="1"/>
  <c r="AA52" i="1" s="1"/>
  <c r="AA61" i="1" s="1"/>
  <c r="Y59" i="1"/>
  <c r="Z55" i="1" s="1"/>
  <c r="Z56" i="1" s="1"/>
  <c r="AB37" i="1" l="1"/>
  <c r="AB48" i="1"/>
  <c r="AB52" i="1" s="1"/>
  <c r="AB61" i="1" s="1"/>
  <c r="Z59" i="1"/>
  <c r="AA55" i="1" s="1"/>
  <c r="AA56" i="1" s="1"/>
  <c r="AC37" i="1" l="1"/>
  <c r="AC48" i="1" s="1"/>
  <c r="AC52" i="1" s="1"/>
  <c r="AC61" i="1" s="1"/>
  <c r="AA59" i="1"/>
  <c r="AD37" i="1" l="1"/>
  <c r="AD48" i="1" s="1"/>
  <c r="AD52" i="1" s="1"/>
  <c r="AD61" i="1" s="1"/>
  <c r="AB59" i="1"/>
  <c r="AE37" i="1" l="1"/>
  <c r="AE48" i="1" s="1"/>
  <c r="AE52" i="1" s="1"/>
  <c r="AE61" i="1" s="1"/>
  <c r="AC59" i="1"/>
  <c r="AF37" i="1" l="1"/>
  <c r="AF48" i="1" s="1"/>
  <c r="AF52" i="1" s="1"/>
  <c r="AF61" i="1" s="1"/>
  <c r="AD59" i="1"/>
  <c r="AE59" i="1" l="1"/>
  <c r="AG61" i="1"/>
  <c r="AF59" i="1" l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AS59" i="1" s="1"/>
  <c r="AT59" i="1" s="1"/>
  <c r="AU59" i="1" s="1"/>
  <c r="AV59" i="1" s="1"/>
  <c r="AW59" i="1" s="1"/>
  <c r="AX59" i="1" s="1"/>
  <c r="AY59" i="1" s="1"/>
  <c r="AZ59" i="1" s="1"/>
  <c r="AH61" i="1"/>
  <c r="AI61" i="1" l="1"/>
  <c r="AJ61" i="1" l="1"/>
  <c r="AK61" i="1" l="1"/>
  <c r="AL61" i="1" l="1"/>
  <c r="AM61" i="1" l="1"/>
  <c r="AN61" i="1" l="1"/>
  <c r="AO61" i="1" l="1"/>
  <c r="AP61" i="1" l="1"/>
  <c r="AQ61" i="1" l="1"/>
  <c r="AR61" i="1" l="1"/>
  <c r="AS61" i="1" l="1"/>
  <c r="AT61" i="1" l="1"/>
  <c r="AU61" i="1" l="1"/>
  <c r="AV61" i="1" l="1"/>
  <c r="AW61" i="1" l="1"/>
  <c r="AX61" i="1" l="1"/>
  <c r="AY61" i="1" l="1"/>
  <c r="AZ61" i="1" l="1"/>
</calcChain>
</file>

<file path=xl/sharedStrings.xml><?xml version="1.0" encoding="utf-8"?>
<sst xmlns="http://schemas.openxmlformats.org/spreadsheetml/2006/main" count="235" uniqueCount="130">
  <si>
    <t>Assumptions</t>
  </si>
  <si>
    <t>Unlevered</t>
  </si>
  <si>
    <t>Levered</t>
  </si>
  <si>
    <t>Monthly Rents</t>
  </si>
  <si>
    <t>IRR</t>
  </si>
  <si>
    <t>Vacancy</t>
  </si>
  <si>
    <t>Yield</t>
  </si>
  <si>
    <t>Property Taxes</t>
  </si>
  <si>
    <t>Cash Multiple</t>
  </si>
  <si>
    <t>Repair &amp; Maintenance</t>
  </si>
  <si>
    <t>Monthly</t>
  </si>
  <si>
    <t>Insurance</t>
  </si>
  <si>
    <t>Year</t>
  </si>
  <si>
    <t>Target IRR</t>
  </si>
  <si>
    <t>8%+ unleveraged</t>
  </si>
  <si>
    <t>Purchase Price</t>
  </si>
  <si>
    <t>Target yield</t>
  </si>
  <si>
    <t>5-8%+ unleveraged</t>
  </si>
  <si>
    <t>Closing Costs</t>
  </si>
  <si>
    <t>Target Cash Multiple</t>
  </si>
  <si>
    <t>1.7x unleveraged</t>
  </si>
  <si>
    <t xml:space="preserve">Total Equity Investment </t>
  </si>
  <si>
    <t>Loan Amount</t>
  </si>
  <si>
    <t>Interest Rate</t>
  </si>
  <si>
    <t>Loan Term</t>
  </si>
  <si>
    <t>Years</t>
  </si>
  <si>
    <t>Renovations @ Purchase</t>
  </si>
  <si>
    <t>Renovations @ Exit</t>
  </si>
  <si>
    <t>Rental Growth Rate</t>
  </si>
  <si>
    <t>Annual Rate</t>
  </si>
  <si>
    <t>Sales Price</t>
  </si>
  <si>
    <t>Costs of Sale</t>
  </si>
  <si>
    <t>YEAR</t>
  </si>
  <si>
    <t>Investment</t>
  </si>
  <si>
    <t>Gross Rental Revenue</t>
  </si>
  <si>
    <t>Utilities</t>
  </si>
  <si>
    <t>Net Rents</t>
  </si>
  <si>
    <t>Sale Proceeds</t>
  </si>
  <si>
    <t>Renovations</t>
  </si>
  <si>
    <t>Unlevered Cashflow</t>
  </si>
  <si>
    <t>Loan Payments</t>
  </si>
  <si>
    <t>Towards Interest</t>
  </si>
  <si>
    <t>Towards Principal</t>
  </si>
  <si>
    <t>Loan Payoff</t>
  </si>
  <si>
    <t>Loan Balance</t>
  </si>
  <si>
    <t>Levered Cashflow</t>
  </si>
  <si>
    <t>LISTED FOR SALE</t>
  </si>
  <si>
    <t>Property 1</t>
  </si>
  <si>
    <t>Property 2</t>
  </si>
  <si>
    <t>Property 3</t>
  </si>
  <si>
    <t>Property 4</t>
  </si>
  <si>
    <t>Property 5</t>
  </si>
  <si>
    <t>Property 6</t>
  </si>
  <si>
    <t>Property 7</t>
  </si>
  <si>
    <t>5204 Longridge Ave</t>
  </si>
  <si>
    <t>Include? (1 = Yes, 0 = No)</t>
  </si>
  <si>
    <t>Avg of Listed</t>
  </si>
  <si>
    <t>Square Footage</t>
  </si>
  <si>
    <t># of rooms</t>
  </si>
  <si>
    <t>baths</t>
  </si>
  <si>
    <t>lot size</t>
  </si>
  <si>
    <t>Year built</t>
  </si>
  <si>
    <t>Days  on Zillow</t>
  </si>
  <si>
    <t>Listing Price</t>
  </si>
  <si>
    <t>$/sf</t>
  </si>
  <si>
    <t>Last sold</t>
  </si>
  <si>
    <t>last sold price</t>
  </si>
  <si>
    <t>1-crap 3-avg 5- great</t>
  </si>
  <si>
    <t>Curb Appeal</t>
  </si>
  <si>
    <t>Fixtures</t>
  </si>
  <si>
    <t>Work?</t>
  </si>
  <si>
    <t xml:space="preserve">RECENTLY SOLD </t>
  </si>
  <si>
    <t>Sale Comp 1</t>
  </si>
  <si>
    <t>Sale Comp 2</t>
  </si>
  <si>
    <t>Sale Comp 3</t>
  </si>
  <si>
    <t>Sale Comp 4</t>
  </si>
  <si>
    <t>Sale Comp 5</t>
  </si>
  <si>
    <t>Sale Comp 6</t>
  </si>
  <si>
    <t>Sale Comp 7</t>
  </si>
  <si>
    <t>6340 Bistol Way</t>
  </si>
  <si>
    <t>Avg of Recently Sold</t>
  </si>
  <si>
    <t>Uglier</t>
  </si>
  <si>
    <t>Older Fixtures</t>
  </si>
  <si>
    <t>Lots more work</t>
  </si>
  <si>
    <t>RENTAL COMPS</t>
  </si>
  <si>
    <t>Rental Comp 1</t>
  </si>
  <si>
    <t>Rental Comp 2</t>
  </si>
  <si>
    <t>Rental Comp 3</t>
  </si>
  <si>
    <t>Rental Comp 4</t>
  </si>
  <si>
    <t>Rental Comp 5</t>
  </si>
  <si>
    <t>Rental Comp 6</t>
  </si>
  <si>
    <t>Rental Comp 7</t>
  </si>
  <si>
    <t>Avg. Rental Comps</t>
  </si>
  <si>
    <t>Asking Rent</t>
  </si>
  <si>
    <t>217 Nunca St.</t>
  </si>
  <si>
    <t>6116 Evergreen Ave</t>
  </si>
  <si>
    <t>6548 Bourbon Way</t>
  </si>
  <si>
    <t>5400 Del Monte</t>
  </si>
  <si>
    <t>4409 W Bonanza Rd</t>
  </si>
  <si>
    <t>6224 Spanish Moss Ave</t>
  </si>
  <si>
    <t>?</t>
  </si>
  <si>
    <t>Comp 1</t>
  </si>
  <si>
    <t>Comp 2</t>
  </si>
  <si>
    <t>Comp 3</t>
  </si>
  <si>
    <t>Comp 4</t>
  </si>
  <si>
    <t>Comp 5</t>
  </si>
  <si>
    <t>Comp 6</t>
  </si>
  <si>
    <t>Comp 7</t>
  </si>
  <si>
    <t>6340 Bristol Way</t>
  </si>
  <si>
    <t>6320 Garwood Ave</t>
  </si>
  <si>
    <t>5621 Idle Ave</t>
  </si>
  <si>
    <t>6317 Bannock Way</t>
  </si>
  <si>
    <t>200 Newcomer St</t>
  </si>
  <si>
    <t>6341 Burgundy Way</t>
  </si>
  <si>
    <t>6324 Evergreen Ave</t>
  </si>
  <si>
    <t>(incomplete renovations)</t>
  </si>
  <si>
    <t>1053 Neil Armstrong Cir</t>
  </si>
  <si>
    <t>5124 Lytton Ave</t>
  </si>
  <si>
    <t>7910 Palace Monaco Ave</t>
  </si>
  <si>
    <t>3601 Sanwood St</t>
  </si>
  <si>
    <t>8117 Redskin Cir</t>
  </si>
  <si>
    <t>3351 Mountain Bluebird</t>
  </si>
  <si>
    <t>3725 Grand Viewpoint Ct</t>
  </si>
  <si>
    <t>HOA</t>
  </si>
  <si>
    <t>OTHER</t>
  </si>
  <si>
    <t>Expense Growth Rate</t>
  </si>
  <si>
    <t>Length of Hold (Up to 50)</t>
  </si>
  <si>
    <t>ALL RIGHTS RESERVED. Symon He 2020</t>
  </si>
  <si>
    <t>Weeks Per Year</t>
  </si>
  <si>
    <t>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</si>
</sst>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_);_(&quot;$&quot;* \(#,##0\);_(&quot;$&quot;* &quot;-&quot;?_);_(@_)"/>
    <numFmt numFmtId="167" formatCode="_(&quot;$&quot;* #,##0.0_);_(&quot;$&quot;* \(#,##0.0\);_(&quot;$&quot;* &quot;-&quot;??_);_(@_)"/>
    <numFmt numFmtId="168" formatCode="_(* #,##0_);_(* \(#,##0\);_(* &quot;-&quot;??_);_(@_)"/>
    <numFmt numFmtId="169" formatCode="0.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164" fontId="3" fillId="0" borderId="0" xfId="2" applyNumberFormat="1" applyFont="1" applyProtection="1">
      <protection locked="0"/>
    </xf>
    <xf numFmtId="0" fontId="2" fillId="0" borderId="0" xfId="0" applyFont="1" applyAlignment="1" applyProtection="1">
      <alignment horizontal="right"/>
    </xf>
    <xf numFmtId="165" fontId="0" fillId="0" borderId="0" xfId="0" applyNumberFormat="1" applyAlignment="1" applyProtection="1">
      <alignment horizontal="center"/>
    </xf>
    <xf numFmtId="0" fontId="3" fillId="0" borderId="0" xfId="0" applyFont="1" applyProtection="1">
      <protection locked="0"/>
    </xf>
    <xf numFmtId="165" fontId="0" fillId="0" borderId="0" xfId="3" applyNumberFormat="1" applyFont="1" applyAlignment="1" applyProtection="1">
      <alignment horizontal="center"/>
    </xf>
    <xf numFmtId="166" fontId="3" fillId="0" borderId="0" xfId="0" applyNumberFormat="1" applyFont="1" applyProtection="1">
      <protection locked="0"/>
    </xf>
    <xf numFmtId="2" fontId="0" fillId="0" borderId="0" xfId="0" applyNumberFormat="1" applyAlignment="1" applyProtection="1">
      <alignment horizontal="center"/>
    </xf>
    <xf numFmtId="6" fontId="3" fillId="0" borderId="0" xfId="0" applyNumberFormat="1" applyFont="1" applyProtection="1">
      <protection locked="0"/>
    </xf>
    <xf numFmtId="167" fontId="3" fillId="0" borderId="0" xfId="2" applyNumberFormat="1" applyFont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indent="1"/>
    </xf>
    <xf numFmtId="9" fontId="3" fillId="0" borderId="0" xfId="3" applyFont="1" applyProtection="1">
      <protection locked="0"/>
    </xf>
    <xf numFmtId="164" fontId="0" fillId="0" borderId="0" xfId="0" applyNumberFormat="1" applyProtection="1"/>
    <xf numFmtId="164" fontId="0" fillId="0" borderId="0" xfId="0" applyNumberFormat="1" applyFont="1" applyProtection="1"/>
    <xf numFmtId="165" fontId="3" fillId="0" borderId="0" xfId="3" applyNumberFormat="1" applyFont="1" applyProtection="1">
      <protection locked="0"/>
    </xf>
    <xf numFmtId="168" fontId="3" fillId="0" borderId="0" xfId="1" applyNumberFormat="1" applyFont="1" applyProtection="1">
      <protection locked="0"/>
    </xf>
    <xf numFmtId="0" fontId="3" fillId="0" borderId="0" xfId="0" applyFont="1" applyProtection="1"/>
    <xf numFmtId="0" fontId="2" fillId="2" borderId="1" xfId="0" applyFont="1" applyFill="1" applyBorder="1" applyProtection="1"/>
    <xf numFmtId="164" fontId="2" fillId="0" borderId="0" xfId="0" applyNumberFormat="1" applyFont="1" applyProtection="1"/>
    <xf numFmtId="164" fontId="2" fillId="0" borderId="0" xfId="2" applyNumberFormat="1" applyFont="1" applyProtection="1"/>
    <xf numFmtId="6" fontId="0" fillId="0" borderId="0" xfId="0" applyNumberFormat="1" applyProtection="1"/>
    <xf numFmtId="164" fontId="0" fillId="0" borderId="0" xfId="2" applyNumberFormat="1" applyFont="1" applyProtection="1"/>
    <xf numFmtId="0" fontId="2" fillId="3" borderId="0" xfId="0" applyFont="1" applyFill="1" applyProtection="1"/>
    <xf numFmtId="6" fontId="2" fillId="3" borderId="0" xfId="0" applyNumberFormat="1" applyFont="1" applyFill="1" applyProtection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2" fillId="0" borderId="0" xfId="0" applyFont="1" applyProtection="1"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/>
    </xf>
    <xf numFmtId="1" fontId="0" fillId="0" borderId="2" xfId="0" applyNumberFormat="1" applyBorder="1" applyProtection="1"/>
    <xf numFmtId="169" fontId="0" fillId="0" borderId="2" xfId="0" applyNumberFormat="1" applyBorder="1" applyProtection="1"/>
    <xf numFmtId="1" fontId="0" fillId="0" borderId="0" xfId="0" applyNumberFormat="1" applyAlignment="1" applyProtection="1">
      <alignment horizontal="right"/>
    </xf>
    <xf numFmtId="164" fontId="0" fillId="5" borderId="2" xfId="2" applyNumberFormat="1" applyFont="1" applyFill="1" applyBorder="1" applyProtection="1">
      <protection locked="0"/>
    </xf>
    <xf numFmtId="164" fontId="0" fillId="0" borderId="2" xfId="2" applyNumberFormat="1" applyFont="1" applyBorder="1" applyProtection="1"/>
    <xf numFmtId="164" fontId="0" fillId="0" borderId="2" xfId="2" applyNumberFormat="1" applyFont="1" applyFill="1" applyBorder="1" applyProtection="1"/>
    <xf numFmtId="17" fontId="0" fillId="5" borderId="2" xfId="0" applyNumberFormat="1" applyFill="1" applyBorder="1" applyProtection="1">
      <protection locked="0"/>
    </xf>
    <xf numFmtId="164" fontId="0" fillId="0" borderId="2" xfId="2" applyNumberFormat="1" applyFont="1" applyFill="1" applyBorder="1" applyAlignment="1" applyProtection="1">
      <alignment horizontal="right"/>
    </xf>
    <xf numFmtId="0" fontId="0" fillId="0" borderId="0" xfId="0" applyBorder="1" applyProtection="1">
      <protection locked="0"/>
    </xf>
    <xf numFmtId="1" fontId="0" fillId="0" borderId="0" xfId="0" applyNumberFormat="1" applyBorder="1" applyProtection="1"/>
    <xf numFmtId="0" fontId="0" fillId="5" borderId="2" xfId="0" applyFill="1" applyBorder="1" applyAlignment="1" applyProtection="1">
      <alignment horizontal="right"/>
      <protection locked="0"/>
    </xf>
    <xf numFmtId="169" fontId="0" fillId="0" borderId="0" xfId="0" applyNumberFormat="1" applyAlignment="1" applyProtection="1">
      <alignment horizontal="right"/>
    </xf>
    <xf numFmtId="0" fontId="2" fillId="6" borderId="0" xfId="0" applyFont="1" applyFill="1" applyAlignment="1" applyProtection="1">
      <alignment horizontal="center"/>
    </xf>
    <xf numFmtId="9" fontId="0" fillId="0" borderId="0" xfId="3" applyFont="1" applyProtection="1"/>
    <xf numFmtId="1" fontId="0" fillId="0" borderId="0" xfId="0" applyNumberFormat="1" applyProtection="1"/>
    <xf numFmtId="1" fontId="0" fillId="0" borderId="0" xfId="0" applyNumberFormat="1" applyBorder="1" applyAlignment="1" applyProtection="1">
      <alignment horizontal="right"/>
      <protection locked="0"/>
    </xf>
    <xf numFmtId="169" fontId="0" fillId="0" borderId="2" xfId="1" applyNumberFormat="1" applyFont="1" applyBorder="1" applyProtection="1"/>
    <xf numFmtId="9" fontId="0" fillId="0" borderId="0" xfId="3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164" fontId="0" fillId="5" borderId="2" xfId="2" applyNumberFormat="1" applyFont="1" applyFill="1" applyBorder="1" applyAlignment="1" applyProtection="1">
      <alignment horizontal="right"/>
      <protection locked="0"/>
    </xf>
    <xf numFmtId="169" fontId="0" fillId="0" borderId="0" xfId="0" applyNumberFormat="1" applyBorder="1" applyProtection="1"/>
    <xf numFmtId="44" fontId="0" fillId="0" borderId="2" xfId="2" applyNumberFormat="1" applyFont="1" applyFill="1" applyBorder="1" applyAlignment="1" applyProtection="1">
      <alignment horizontal="right"/>
    </xf>
    <xf numFmtId="44" fontId="0" fillId="0" borderId="2" xfId="2" applyNumberFormat="1" applyFont="1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horizontal="center"/>
    </xf>
    <xf numFmtId="164" fontId="0" fillId="5" borderId="2" xfId="2" applyNumberFormat="1" applyFont="1" applyFill="1" applyBorder="1" applyProtection="1"/>
    <xf numFmtId="17" fontId="0" fillId="5" borderId="2" xfId="0" applyNumberFormat="1" applyFill="1" applyBorder="1" applyProtection="1"/>
    <xf numFmtId="0" fontId="0" fillId="0" borderId="0" xfId="0" applyBorder="1" applyProtection="1"/>
    <xf numFmtId="0" fontId="0" fillId="5" borderId="2" xfId="0" applyFill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164" fontId="0" fillId="5" borderId="2" xfId="2" applyNumberFormat="1" applyFont="1" applyFill="1" applyBorder="1" applyAlignment="1" applyProtection="1">
      <alignment horizontal="right"/>
    </xf>
    <xf numFmtId="44" fontId="0" fillId="0" borderId="2" xfId="2" applyNumberFormat="1" applyFont="1" applyBorder="1" applyProtection="1"/>
    <xf numFmtId="0" fontId="2" fillId="4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164" fontId="2" fillId="3" borderId="0" xfId="0" applyNumberFormat="1" applyFont="1" applyFill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showGridLines="0" workbookViewId="0">
      <selection activeCell="K9" sqref="K9"/>
    </sheetView>
  </sheetViews>
  <sheetFormatPr baseColWidth="10" defaultRowHeight="16"/>
  <cols>
    <col min="1" max="1" width="26.83203125" style="13" customWidth="1"/>
    <col min="2" max="2" width="19.5" style="28" customWidth="1"/>
    <col min="3" max="3" width="21.83203125" style="28" bestFit="1" customWidth="1"/>
    <col min="4" max="7" width="19.5" style="28" customWidth="1"/>
    <col min="8" max="8" width="20.33203125" style="28" bestFit="1" customWidth="1"/>
    <col min="9" max="9" width="18.1640625" style="2" bestFit="1" customWidth="1"/>
    <col min="10" max="10" width="16.83203125" style="2" customWidth="1"/>
    <col min="11" max="11" width="14" style="2" bestFit="1" customWidth="1"/>
    <col min="12" max="16384" width="10.83203125" style="28"/>
  </cols>
  <sheetData>
    <row r="1" spans="1:24">
      <c r="B1" s="68" t="s">
        <v>46</v>
      </c>
      <c r="C1" s="68"/>
      <c r="D1" s="68"/>
      <c r="E1" s="68"/>
      <c r="F1" s="68"/>
      <c r="G1" s="68"/>
      <c r="H1" s="68"/>
    </row>
    <row r="2" spans="1:24">
      <c r="B2" s="29" t="s">
        <v>47</v>
      </c>
      <c r="C2" s="29" t="s">
        <v>48</v>
      </c>
      <c r="D2" s="29" t="s">
        <v>49</v>
      </c>
      <c r="E2" s="29" t="s">
        <v>50</v>
      </c>
      <c r="F2" s="29" t="s">
        <v>51</v>
      </c>
      <c r="G2" s="29" t="s">
        <v>52</v>
      </c>
      <c r="H2" s="29" t="s">
        <v>53</v>
      </c>
    </row>
    <row r="3" spans="1:24">
      <c r="B3" s="30" t="s">
        <v>54</v>
      </c>
      <c r="C3" s="30"/>
      <c r="D3" s="30"/>
      <c r="E3" s="30"/>
      <c r="F3" s="30"/>
      <c r="G3" s="30"/>
      <c r="H3" s="30"/>
      <c r="X3" s="31"/>
    </row>
    <row r="4" spans="1:24">
      <c r="A4" s="13" t="s">
        <v>55</v>
      </c>
      <c r="B4" s="32">
        <v>1</v>
      </c>
      <c r="C4" s="32"/>
      <c r="D4" s="32"/>
      <c r="E4" s="32"/>
      <c r="F4" s="32"/>
      <c r="G4" s="32"/>
      <c r="H4" s="32"/>
      <c r="X4" s="31"/>
    </row>
    <row r="5" spans="1:24">
      <c r="B5" s="33"/>
      <c r="C5" s="33"/>
      <c r="D5" s="33"/>
      <c r="E5" s="33"/>
      <c r="F5" s="33"/>
      <c r="G5" s="33"/>
      <c r="H5" s="33"/>
      <c r="I5" s="34" t="s">
        <v>56</v>
      </c>
      <c r="X5" s="31"/>
    </row>
    <row r="6" spans="1:24">
      <c r="A6" s="13" t="s">
        <v>57</v>
      </c>
      <c r="B6" s="30">
        <v>1364</v>
      </c>
      <c r="C6" s="30"/>
      <c r="D6" s="30"/>
      <c r="E6" s="30"/>
      <c r="F6" s="30"/>
      <c r="G6" s="30"/>
      <c r="H6" s="30"/>
      <c r="I6" s="35">
        <f>SUMPRODUCT($B6:$H6,$B$4:$H$4)/SUM($B$4:$H$4)</f>
        <v>1364</v>
      </c>
    </row>
    <row r="7" spans="1:24">
      <c r="A7" s="13" t="s">
        <v>58</v>
      </c>
      <c r="B7" s="30">
        <v>3</v>
      </c>
      <c r="C7" s="30"/>
      <c r="D7" s="30"/>
      <c r="E7" s="30"/>
      <c r="F7" s="30"/>
      <c r="G7" s="30"/>
      <c r="H7" s="30"/>
      <c r="I7" s="36">
        <f t="shared" ref="I7:I13" si="0">SUMPRODUCT($B7:$H7,$B$4:$H$4)/SUM($B$4:$H$4)</f>
        <v>3</v>
      </c>
    </row>
    <row r="8" spans="1:24">
      <c r="A8" s="13" t="s">
        <v>59</v>
      </c>
      <c r="B8" s="30">
        <v>2</v>
      </c>
      <c r="C8" s="30"/>
      <c r="D8" s="30"/>
      <c r="E8" s="30"/>
      <c r="F8" s="30"/>
      <c r="G8" s="30"/>
      <c r="H8" s="30"/>
      <c r="I8" s="36">
        <f t="shared" si="0"/>
        <v>2</v>
      </c>
    </row>
    <row r="9" spans="1:24">
      <c r="A9" s="13" t="s">
        <v>60</v>
      </c>
      <c r="B9" s="30">
        <v>7405</v>
      </c>
      <c r="C9" s="30"/>
      <c r="D9" s="30"/>
      <c r="E9" s="30"/>
      <c r="F9" s="30"/>
      <c r="G9" s="30"/>
      <c r="H9" s="30"/>
      <c r="I9" s="35">
        <f t="shared" si="0"/>
        <v>7405</v>
      </c>
    </row>
    <row r="10" spans="1:24">
      <c r="B10" s="33"/>
      <c r="C10" s="33"/>
      <c r="D10" s="33"/>
      <c r="E10" s="33"/>
      <c r="F10" s="33"/>
      <c r="G10" s="33"/>
      <c r="H10" s="33"/>
      <c r="I10" s="37"/>
    </row>
    <row r="11" spans="1:24">
      <c r="A11" s="13" t="s">
        <v>61</v>
      </c>
      <c r="B11" s="30">
        <v>1961</v>
      </c>
      <c r="C11" s="30"/>
      <c r="D11" s="30"/>
      <c r="E11" s="30"/>
      <c r="F11" s="30"/>
      <c r="G11" s="30"/>
      <c r="H11" s="30"/>
      <c r="I11" s="35">
        <f t="shared" si="0"/>
        <v>1961</v>
      </c>
    </row>
    <row r="12" spans="1:24">
      <c r="B12" s="33"/>
      <c r="C12" s="33"/>
      <c r="D12" s="33"/>
      <c r="E12" s="33"/>
      <c r="F12" s="33"/>
      <c r="G12" s="33"/>
      <c r="H12" s="33"/>
      <c r="I12" s="37"/>
    </row>
    <row r="13" spans="1:24">
      <c r="A13" s="13" t="s">
        <v>62</v>
      </c>
      <c r="B13" s="30">
        <v>10</v>
      </c>
      <c r="C13" s="30"/>
      <c r="D13" s="30"/>
      <c r="E13" s="30"/>
      <c r="F13" s="30"/>
      <c r="G13" s="30"/>
      <c r="H13" s="30"/>
      <c r="I13" s="35">
        <f t="shared" si="0"/>
        <v>10</v>
      </c>
    </row>
    <row r="14" spans="1:24">
      <c r="B14" s="33"/>
      <c r="C14" s="33"/>
      <c r="D14" s="33"/>
      <c r="E14" s="33"/>
      <c r="F14" s="33"/>
      <c r="G14" s="33"/>
      <c r="H14" s="33"/>
      <c r="I14" s="37"/>
    </row>
    <row r="15" spans="1:24">
      <c r="A15" s="13" t="s">
        <v>63</v>
      </c>
      <c r="B15" s="38">
        <v>147000</v>
      </c>
      <c r="C15" s="38"/>
      <c r="D15" s="38"/>
      <c r="E15" s="38"/>
      <c r="F15" s="38"/>
      <c r="G15" s="38"/>
      <c r="H15" s="38"/>
      <c r="I15" s="39">
        <f>SUMPRODUCT($B15:$H15,$B$4:$H$4)/SUM($B$4:$H$4)</f>
        <v>147000</v>
      </c>
    </row>
    <row r="16" spans="1:24">
      <c r="A16" s="13" t="s">
        <v>64</v>
      </c>
      <c r="B16" s="40">
        <f>IF(B6&gt;0,B15/B6,"")</f>
        <v>107.77126099706744</v>
      </c>
      <c r="C16" s="40" t="str">
        <f>IF(C6&gt;0,C15/C6,"")</f>
        <v/>
      </c>
      <c r="D16" s="40" t="str">
        <f t="shared" ref="D16:H16" si="1">IF(D6&gt;0,D15/D6,"")</f>
        <v/>
      </c>
      <c r="E16" s="40" t="str">
        <f t="shared" si="1"/>
        <v/>
      </c>
      <c r="F16" s="40" t="str">
        <f t="shared" si="1"/>
        <v/>
      </c>
      <c r="G16" s="40" t="str">
        <f t="shared" si="1"/>
        <v/>
      </c>
      <c r="H16" s="40" t="str">
        <f t="shared" si="1"/>
        <v/>
      </c>
      <c r="I16" s="58">
        <f>SUMPRODUCT($B16:$H16,$B$4:$H$4)/SUM($B$4:$H$4)</f>
        <v>107.77126099706744</v>
      </c>
    </row>
    <row r="17" spans="1:9" s="28" customFormat="1">
      <c r="A17" s="13"/>
      <c r="B17" s="33"/>
      <c r="C17" s="33"/>
      <c r="D17" s="33"/>
      <c r="E17" s="33"/>
      <c r="F17" s="33"/>
      <c r="G17" s="33"/>
      <c r="H17" s="33"/>
      <c r="I17" s="37"/>
    </row>
    <row r="18" spans="1:9" s="28" customFormat="1">
      <c r="A18" s="13" t="s">
        <v>65</v>
      </c>
      <c r="B18" s="41">
        <v>40452</v>
      </c>
      <c r="C18" s="41"/>
      <c r="D18" s="41"/>
      <c r="E18" s="41"/>
      <c r="F18" s="41"/>
      <c r="G18" s="41"/>
      <c r="H18" s="41"/>
      <c r="I18" s="2"/>
    </row>
    <row r="19" spans="1:9" s="28" customFormat="1">
      <c r="A19" s="13" t="s">
        <v>66</v>
      </c>
      <c r="B19" s="38">
        <v>78250</v>
      </c>
      <c r="C19" s="38"/>
      <c r="D19" s="38"/>
      <c r="E19" s="38"/>
      <c r="F19" s="38"/>
      <c r="G19" s="38"/>
      <c r="H19" s="38"/>
      <c r="I19" s="39">
        <f>SUMPRODUCT($B19:$H19,$B$4:$H$4)/SUM($B$4:$H$4)</f>
        <v>78250</v>
      </c>
    </row>
    <row r="20" spans="1:9" s="28" customFormat="1">
      <c r="A20" s="13" t="s">
        <v>64</v>
      </c>
      <c r="B20" s="57">
        <f>IF(B6&gt;0,B19/B6,"")</f>
        <v>57.368035190615835</v>
      </c>
      <c r="C20" s="57" t="str">
        <f>IF(C6&gt;0,C19/C6,"")</f>
        <v/>
      </c>
      <c r="D20" s="57" t="str">
        <f t="shared" ref="D20:H20" si="2">IF(D6&gt;0,D19/D6,"")</f>
        <v/>
      </c>
      <c r="E20" s="57" t="str">
        <f t="shared" si="2"/>
        <v/>
      </c>
      <c r="F20" s="57" t="str">
        <f t="shared" si="2"/>
        <v/>
      </c>
      <c r="G20" s="57" t="str">
        <f t="shared" si="2"/>
        <v/>
      </c>
      <c r="H20" s="57" t="str">
        <f t="shared" si="2"/>
        <v/>
      </c>
      <c r="I20" s="39">
        <f>AVERAGE(B20:H20)</f>
        <v>57.368035190615835</v>
      </c>
    </row>
    <row r="21" spans="1:9" s="28" customFormat="1">
      <c r="A21" s="13"/>
      <c r="B21" s="33"/>
      <c r="C21" s="33"/>
      <c r="D21" s="33"/>
      <c r="E21" s="33"/>
      <c r="F21" s="33"/>
      <c r="G21" s="33"/>
      <c r="H21" s="33"/>
      <c r="I21" s="37"/>
    </row>
    <row r="22" spans="1:9" s="28" customFormat="1">
      <c r="A22" s="13" t="s">
        <v>67</v>
      </c>
      <c r="B22" s="43"/>
      <c r="C22" s="43"/>
      <c r="D22" s="43"/>
      <c r="E22" s="43"/>
      <c r="F22" s="43"/>
      <c r="G22" s="43"/>
      <c r="H22" s="43"/>
      <c r="I22" s="44"/>
    </row>
    <row r="23" spans="1:9" s="28" customFormat="1">
      <c r="A23" s="13" t="s">
        <v>68</v>
      </c>
      <c r="B23" s="30">
        <v>2.5</v>
      </c>
      <c r="C23" s="30"/>
      <c r="D23" s="30"/>
      <c r="E23" s="30"/>
      <c r="F23" s="45"/>
      <c r="G23" s="45"/>
      <c r="H23" s="45"/>
      <c r="I23" s="36">
        <f t="shared" ref="I23:I24" si="3">SUMPRODUCT($B23:$H23,$B$4:$H$4)/SUM($B$4:$H$4)</f>
        <v>2.5</v>
      </c>
    </row>
    <row r="24" spans="1:9" s="28" customFormat="1">
      <c r="A24" s="13" t="s">
        <v>69</v>
      </c>
      <c r="B24" s="30">
        <v>3.5</v>
      </c>
      <c r="C24" s="30"/>
      <c r="D24" s="30"/>
      <c r="E24" s="30"/>
      <c r="F24" s="45"/>
      <c r="G24" s="45"/>
      <c r="H24" s="45"/>
      <c r="I24" s="36">
        <f t="shared" si="3"/>
        <v>3.5</v>
      </c>
    </row>
    <row r="25" spans="1:9" s="28" customFormat="1">
      <c r="A25" s="13"/>
      <c r="B25" s="33"/>
      <c r="C25" s="33"/>
      <c r="D25" s="33"/>
      <c r="E25" s="33"/>
      <c r="F25" s="33"/>
      <c r="G25" s="33"/>
      <c r="H25" s="33"/>
      <c r="I25" s="46"/>
    </row>
    <row r="26" spans="1:9" s="28" customFormat="1">
      <c r="A26" s="13" t="s">
        <v>70</v>
      </c>
      <c r="B26" s="30">
        <v>2</v>
      </c>
      <c r="C26" s="30"/>
      <c r="D26" s="30"/>
      <c r="E26" s="30"/>
      <c r="F26" s="45"/>
      <c r="G26" s="45"/>
      <c r="H26" s="45"/>
      <c r="I26" s="36">
        <f t="shared" ref="I26" si="4">SUMPRODUCT($B26:$H26,$B$4:$H$4)/SUM($B$4:$H$4)</f>
        <v>2</v>
      </c>
    </row>
    <row r="30" spans="1:9" s="28" customFormat="1">
      <c r="A30" s="13"/>
      <c r="B30" s="69" t="s">
        <v>71</v>
      </c>
      <c r="C30" s="69"/>
      <c r="D30" s="69"/>
      <c r="E30" s="69"/>
      <c r="F30" s="69"/>
      <c r="G30" s="69"/>
      <c r="H30" s="69"/>
      <c r="I30" s="2"/>
    </row>
    <row r="31" spans="1:9" s="28" customFormat="1">
      <c r="A31" s="13"/>
      <c r="B31" s="29" t="s">
        <v>72</v>
      </c>
      <c r="C31" s="29" t="s">
        <v>73</v>
      </c>
      <c r="D31" s="29" t="s">
        <v>74</v>
      </c>
      <c r="E31" s="29" t="s">
        <v>75</v>
      </c>
      <c r="F31" s="29" t="s">
        <v>76</v>
      </c>
      <c r="G31" s="29" t="s">
        <v>77</v>
      </c>
      <c r="H31" s="29" t="s">
        <v>78</v>
      </c>
      <c r="I31" s="2"/>
    </row>
    <row r="32" spans="1:9" s="28" customFormat="1">
      <c r="A32" s="13"/>
      <c r="B32" s="30" t="s">
        <v>79</v>
      </c>
      <c r="C32" s="30"/>
      <c r="D32" s="30"/>
      <c r="E32" s="30"/>
      <c r="F32" s="30"/>
      <c r="G32" s="30"/>
      <c r="H32" s="30"/>
      <c r="I32" s="13"/>
    </row>
    <row r="33" spans="1:11">
      <c r="A33" s="13" t="s">
        <v>55</v>
      </c>
      <c r="B33" s="32">
        <v>1</v>
      </c>
      <c r="C33" s="32"/>
      <c r="D33" s="32"/>
      <c r="E33" s="32"/>
      <c r="F33" s="32"/>
      <c r="G33" s="32"/>
      <c r="H33" s="32"/>
    </row>
    <row r="34" spans="1:11">
      <c r="B34" s="33"/>
      <c r="C34" s="33"/>
      <c r="D34" s="33"/>
      <c r="E34" s="33"/>
      <c r="F34" s="33"/>
      <c r="G34" s="33"/>
      <c r="H34" s="33"/>
      <c r="I34" s="47" t="s">
        <v>80</v>
      </c>
      <c r="J34" s="34" t="s">
        <v>56</v>
      </c>
    </row>
    <row r="35" spans="1:11">
      <c r="A35" s="13" t="s">
        <v>57</v>
      </c>
      <c r="B35" s="30">
        <v>1216</v>
      </c>
      <c r="C35" s="30"/>
      <c r="D35" s="30"/>
      <c r="E35" s="30"/>
      <c r="F35" s="30"/>
      <c r="G35" s="30"/>
      <c r="H35" s="30"/>
      <c r="I35" s="35">
        <f>SUMPRODUCT($B35:$H35,$B$33:$H$33)/SUM($B$33:$H$33)</f>
        <v>1216</v>
      </c>
      <c r="J35" s="35">
        <f>I6</f>
        <v>1364</v>
      </c>
      <c r="K35" s="48">
        <f>J35/I35</f>
        <v>1.1217105263157894</v>
      </c>
    </row>
    <row r="36" spans="1:11">
      <c r="A36" s="13" t="s">
        <v>58</v>
      </c>
      <c r="B36" s="30">
        <v>3</v>
      </c>
      <c r="C36" s="30"/>
      <c r="D36" s="30"/>
      <c r="E36" s="30"/>
      <c r="F36" s="30"/>
      <c r="G36" s="30"/>
      <c r="H36" s="30"/>
      <c r="I36" s="36">
        <f t="shared" ref="I36:I38" si="5">SUMPRODUCT($B36:$H36,$B$33:$H$33)/SUM($B$33:$H$33)</f>
        <v>3</v>
      </c>
      <c r="J36" s="36">
        <f>I7</f>
        <v>3</v>
      </c>
      <c r="K36" s="48">
        <f t="shared" ref="K36:K38" si="6">J36/I36</f>
        <v>1</v>
      </c>
    </row>
    <row r="37" spans="1:11">
      <c r="A37" s="13" t="s">
        <v>59</v>
      </c>
      <c r="B37" s="30">
        <v>2</v>
      </c>
      <c r="C37" s="30"/>
      <c r="D37" s="30"/>
      <c r="E37" s="30"/>
      <c r="F37" s="30"/>
      <c r="G37" s="30"/>
      <c r="H37" s="30"/>
      <c r="I37" s="36">
        <f t="shared" si="5"/>
        <v>2</v>
      </c>
      <c r="J37" s="36">
        <f>I8</f>
        <v>2</v>
      </c>
      <c r="K37" s="48">
        <f t="shared" si="6"/>
        <v>1</v>
      </c>
    </row>
    <row r="38" spans="1:11">
      <c r="A38" s="13" t="s">
        <v>60</v>
      </c>
      <c r="B38" s="30">
        <v>6098</v>
      </c>
      <c r="C38" s="30"/>
      <c r="D38" s="30"/>
      <c r="E38" s="30"/>
      <c r="F38" s="30"/>
      <c r="G38" s="30"/>
      <c r="H38" s="30"/>
      <c r="I38" s="35">
        <f t="shared" si="5"/>
        <v>6098</v>
      </c>
      <c r="J38" s="35">
        <f>I9</f>
        <v>7405</v>
      </c>
      <c r="K38" s="48">
        <f t="shared" si="6"/>
        <v>1.2143325680551</v>
      </c>
    </row>
    <row r="39" spans="1:11">
      <c r="B39" s="33"/>
      <c r="C39" s="33"/>
      <c r="D39" s="33"/>
      <c r="E39" s="33"/>
      <c r="F39" s="33"/>
      <c r="G39" s="33"/>
      <c r="H39" s="33"/>
      <c r="I39" s="37"/>
      <c r="J39" s="37"/>
    </row>
    <row r="40" spans="1:11">
      <c r="A40" s="13" t="s">
        <v>61</v>
      </c>
      <c r="B40" s="30">
        <v>1961</v>
      </c>
      <c r="C40" s="30"/>
      <c r="D40" s="30"/>
      <c r="E40" s="30"/>
      <c r="F40" s="30"/>
      <c r="G40" s="30"/>
      <c r="H40" s="30"/>
      <c r="I40" s="35">
        <f>SUMPRODUCT($B40:$H40,$B$33:$H$33)/SUM($B$33:$H$33)</f>
        <v>1961</v>
      </c>
      <c r="J40" s="35">
        <f>I11</f>
        <v>1961</v>
      </c>
      <c r="K40" s="48"/>
    </row>
    <row r="41" spans="1:11">
      <c r="B41" s="33"/>
      <c r="C41" s="33"/>
      <c r="D41" s="33"/>
      <c r="E41" s="33"/>
      <c r="F41" s="33"/>
      <c r="G41" s="33"/>
      <c r="H41" s="33"/>
      <c r="I41" s="37"/>
      <c r="J41" s="37"/>
    </row>
    <row r="42" spans="1:11">
      <c r="A42" s="13" t="s">
        <v>65</v>
      </c>
      <c r="B42" s="41">
        <v>42430</v>
      </c>
      <c r="C42" s="41"/>
      <c r="D42" s="41"/>
      <c r="E42" s="41"/>
      <c r="F42" s="41"/>
      <c r="G42" s="41"/>
      <c r="H42" s="41"/>
      <c r="I42" s="49"/>
      <c r="J42" s="49"/>
    </row>
    <row r="43" spans="1:11">
      <c r="A43" s="13" t="s">
        <v>66</v>
      </c>
      <c r="B43" s="38">
        <v>137000</v>
      </c>
      <c r="C43" s="38"/>
      <c r="D43" s="38"/>
      <c r="E43" s="38"/>
      <c r="F43" s="38"/>
      <c r="G43" s="38"/>
      <c r="H43" s="38"/>
      <c r="I43" s="39">
        <f>SUMPRODUCT($B43:$H43,$B$33:$H$33)/SUM($B$33:$H$33)</f>
        <v>137000</v>
      </c>
      <c r="J43" s="39">
        <f>I15</f>
        <v>147000</v>
      </c>
      <c r="K43" s="48">
        <f t="shared" ref="K43:K44" si="7">J43/I43</f>
        <v>1.0729927007299269</v>
      </c>
    </row>
    <row r="44" spans="1:11">
      <c r="A44" s="13" t="s">
        <v>64</v>
      </c>
      <c r="B44" s="42">
        <f>IF(B35&gt;0,B43/B35,"")</f>
        <v>112.66447368421052</v>
      </c>
      <c r="C44" s="42" t="str">
        <f>IF(C35&gt;0,C43/C35,"")</f>
        <v/>
      </c>
      <c r="D44" s="42" t="str">
        <f t="shared" ref="D44:H44" si="8">IF(D35&gt;0,D43/D35,"")</f>
        <v/>
      </c>
      <c r="E44" s="42" t="str">
        <f t="shared" si="8"/>
        <v/>
      </c>
      <c r="F44" s="42" t="str">
        <f t="shared" si="8"/>
        <v/>
      </c>
      <c r="G44" s="42" t="str">
        <f t="shared" si="8"/>
        <v/>
      </c>
      <c r="H44" s="42" t="str">
        <f t="shared" si="8"/>
        <v/>
      </c>
      <c r="I44" s="67">
        <f>SUMPRODUCT($B44:$H44,$B$33:$H$33)/SUM($B$33:$H$33)</f>
        <v>112.66447368421052</v>
      </c>
      <c r="J44" s="39">
        <f>I16</f>
        <v>107.77126099706744</v>
      </c>
      <c r="K44" s="48">
        <f t="shared" si="7"/>
        <v>0.95656827279148915</v>
      </c>
    </row>
    <row r="45" spans="1:11">
      <c r="B45" s="50"/>
      <c r="C45" s="50"/>
      <c r="D45" s="50"/>
      <c r="E45" s="50"/>
      <c r="F45" s="50"/>
      <c r="G45" s="50"/>
      <c r="H45" s="50"/>
      <c r="I45" s="44"/>
      <c r="J45" s="44"/>
    </row>
    <row r="46" spans="1:11">
      <c r="A46" s="13" t="s">
        <v>67</v>
      </c>
      <c r="B46" s="43"/>
      <c r="C46" s="43"/>
      <c r="D46" s="43"/>
      <c r="E46" s="43"/>
      <c r="F46" s="43"/>
      <c r="G46" s="43"/>
      <c r="H46" s="43"/>
      <c r="I46" s="44"/>
      <c r="J46" s="44"/>
    </row>
    <row r="47" spans="1:11">
      <c r="A47" s="13" t="s">
        <v>68</v>
      </c>
      <c r="B47" s="30">
        <v>2</v>
      </c>
      <c r="C47" s="30"/>
      <c r="D47" s="30"/>
      <c r="E47" s="30"/>
      <c r="F47" s="45"/>
      <c r="G47" s="45"/>
      <c r="H47" s="45"/>
      <c r="I47" s="36">
        <f>SUMPRODUCT($B47:$H47,$B$33:$H$33)/SUM($B$33:$H$33)</f>
        <v>2</v>
      </c>
      <c r="J47" s="51">
        <f>I23</f>
        <v>2.5</v>
      </c>
      <c r="K47" s="52" t="s">
        <v>81</v>
      </c>
    </row>
    <row r="48" spans="1:11">
      <c r="A48" s="13" t="s">
        <v>69</v>
      </c>
      <c r="B48" s="30">
        <v>4</v>
      </c>
      <c r="C48" s="30"/>
      <c r="D48" s="30"/>
      <c r="E48" s="30"/>
      <c r="F48" s="45"/>
      <c r="G48" s="45"/>
      <c r="H48" s="45"/>
      <c r="I48" s="36">
        <f>SUMPRODUCT($B48:$H48,$B$33:$H$33)/SUM($B$33:$H$33)</f>
        <v>4</v>
      </c>
      <c r="J48" s="51">
        <f>I24</f>
        <v>3.5</v>
      </c>
      <c r="K48" s="52" t="s">
        <v>82</v>
      </c>
    </row>
    <row r="49" spans="1:11">
      <c r="B49" s="33"/>
      <c r="C49" s="33"/>
      <c r="D49" s="33"/>
      <c r="E49" s="33"/>
      <c r="F49" s="33"/>
      <c r="G49" s="33"/>
      <c r="H49" s="33"/>
      <c r="I49" s="46"/>
      <c r="J49" s="46"/>
      <c r="K49" s="53"/>
    </row>
    <row r="50" spans="1:11">
      <c r="A50" s="13" t="s">
        <v>70</v>
      </c>
      <c r="B50" s="30">
        <v>2.5</v>
      </c>
      <c r="C50" s="30"/>
      <c r="D50" s="30"/>
      <c r="E50" s="30"/>
      <c r="F50" s="45"/>
      <c r="G50" s="45"/>
      <c r="H50" s="45"/>
      <c r="I50" s="36">
        <f>SUMPRODUCT($B50:$H50,$B$33:$H$33)/SUM($B$33:$H$33)</f>
        <v>2.5</v>
      </c>
      <c r="J50" s="51">
        <f>I26</f>
        <v>2</v>
      </c>
      <c r="K50" s="52" t="s">
        <v>83</v>
      </c>
    </row>
    <row r="54" spans="1:11">
      <c r="B54" s="70" t="s">
        <v>84</v>
      </c>
      <c r="C54" s="70"/>
      <c r="D54" s="70"/>
      <c r="E54" s="70"/>
      <c r="F54" s="70"/>
      <c r="G54" s="70"/>
      <c r="H54" s="70"/>
    </row>
    <row r="55" spans="1:11">
      <c r="B55" s="29" t="s">
        <v>85</v>
      </c>
      <c r="C55" s="29" t="s">
        <v>86</v>
      </c>
      <c r="D55" s="29" t="s">
        <v>87</v>
      </c>
      <c r="E55" s="29" t="s">
        <v>88</v>
      </c>
      <c r="F55" s="29" t="s">
        <v>89</v>
      </c>
      <c r="G55" s="29" t="s">
        <v>90</v>
      </c>
      <c r="H55" s="29" t="s">
        <v>91</v>
      </c>
    </row>
    <row r="56" spans="1:11">
      <c r="B56" s="30">
        <v>6520</v>
      </c>
      <c r="C56" s="30"/>
      <c r="D56" s="30"/>
      <c r="E56" s="30"/>
      <c r="F56" s="30"/>
      <c r="G56" s="30"/>
      <c r="H56" s="30"/>
      <c r="I56" s="13"/>
    </row>
    <row r="57" spans="1:11">
      <c r="A57" s="13" t="s">
        <v>55</v>
      </c>
      <c r="B57" s="32">
        <v>1</v>
      </c>
      <c r="C57" s="32"/>
      <c r="D57" s="32"/>
      <c r="E57" s="32"/>
      <c r="F57" s="32"/>
      <c r="G57" s="32"/>
      <c r="H57" s="32"/>
    </row>
    <row r="58" spans="1:11">
      <c r="B58" s="33"/>
      <c r="C58" s="33"/>
      <c r="D58" s="33"/>
      <c r="E58" s="33"/>
      <c r="F58" s="33"/>
      <c r="G58" s="33"/>
      <c r="H58" s="33"/>
      <c r="I58" s="54" t="s">
        <v>92</v>
      </c>
      <c r="J58" s="34" t="s">
        <v>56</v>
      </c>
    </row>
    <row r="59" spans="1:11">
      <c r="A59" s="13" t="s">
        <v>57</v>
      </c>
      <c r="B59" s="30">
        <v>1307</v>
      </c>
      <c r="C59" s="30"/>
      <c r="D59" s="30"/>
      <c r="E59" s="30"/>
      <c r="F59" s="30"/>
      <c r="G59" s="30"/>
      <c r="H59" s="30"/>
      <c r="I59" s="35">
        <f>SUMPRODUCT($B59:$H59,$B$57:$H$57)/SUM($B$57:$H$57)</f>
        <v>1307</v>
      </c>
      <c r="J59" s="35">
        <f>J35</f>
        <v>1364</v>
      </c>
    </row>
    <row r="60" spans="1:11">
      <c r="A60" s="13" t="s">
        <v>58</v>
      </c>
      <c r="B60" s="30">
        <v>3</v>
      </c>
      <c r="C60" s="30"/>
      <c r="D60" s="30"/>
      <c r="E60" s="30"/>
      <c r="F60" s="30"/>
      <c r="G60" s="30"/>
      <c r="H60" s="30"/>
      <c r="I60" s="36">
        <f t="shared" ref="I60:I62" si="9">SUMPRODUCT($B60:$H60,$B$57:$H$57)/SUM($B$57:$H$57)</f>
        <v>3</v>
      </c>
      <c r="J60" s="36">
        <f>J36</f>
        <v>3</v>
      </c>
    </row>
    <row r="61" spans="1:11">
      <c r="A61" s="13" t="s">
        <v>59</v>
      </c>
      <c r="B61" s="30">
        <v>2</v>
      </c>
      <c r="C61" s="30"/>
      <c r="D61" s="30"/>
      <c r="E61" s="30"/>
      <c r="F61" s="30"/>
      <c r="G61" s="30"/>
      <c r="H61" s="30"/>
      <c r="I61" s="36">
        <f t="shared" si="9"/>
        <v>2</v>
      </c>
      <c r="J61" s="36">
        <f>J37</f>
        <v>2</v>
      </c>
    </row>
    <row r="62" spans="1:11">
      <c r="A62" s="13" t="s">
        <v>60</v>
      </c>
      <c r="B62" s="30">
        <v>6098</v>
      </c>
      <c r="C62" s="30"/>
      <c r="D62" s="30"/>
      <c r="E62" s="30"/>
      <c r="F62" s="30"/>
      <c r="G62" s="30"/>
      <c r="H62" s="30"/>
      <c r="I62" s="35">
        <f t="shared" si="9"/>
        <v>6098</v>
      </c>
      <c r="J62" s="35">
        <f>J38</f>
        <v>7405</v>
      </c>
    </row>
    <row r="63" spans="1:11">
      <c r="B63" s="33"/>
      <c r="C63" s="33"/>
      <c r="D63" s="33"/>
      <c r="E63" s="33"/>
      <c r="F63" s="33"/>
      <c r="G63" s="33"/>
      <c r="H63" s="33"/>
      <c r="I63" s="37"/>
      <c r="J63" s="37"/>
    </row>
    <row r="64" spans="1:11">
      <c r="A64" s="13" t="s">
        <v>93</v>
      </c>
      <c r="B64" s="55">
        <v>1125</v>
      </c>
      <c r="C64" s="55"/>
      <c r="D64" s="55"/>
      <c r="E64" s="55"/>
      <c r="F64" s="55"/>
      <c r="G64" s="55"/>
      <c r="H64" s="55"/>
      <c r="I64" s="39">
        <f>SUMPRODUCT($B64:$H64,$B$57:$H$57)/SUM($B$57:$H$57)</f>
        <v>1125</v>
      </c>
      <c r="J64" s="37"/>
    </row>
    <row r="65" spans="1:10" s="28" customFormat="1">
      <c r="A65" s="13"/>
      <c r="B65" s="50"/>
      <c r="C65" s="50"/>
      <c r="D65" s="50"/>
      <c r="E65" s="50"/>
      <c r="F65" s="50"/>
      <c r="G65" s="50"/>
      <c r="H65" s="50"/>
      <c r="I65" s="56"/>
      <c r="J65" s="37"/>
    </row>
    <row r="66" spans="1:10" s="28" customFormat="1">
      <c r="A66" s="13" t="s">
        <v>67</v>
      </c>
      <c r="B66" s="43"/>
      <c r="C66" s="43"/>
      <c r="D66" s="43"/>
      <c r="E66" s="43"/>
      <c r="F66" s="43"/>
      <c r="G66" s="43"/>
      <c r="H66" s="43"/>
      <c r="I66" s="56"/>
      <c r="J66" s="56"/>
    </row>
    <row r="67" spans="1:10" s="28" customFormat="1">
      <c r="A67" s="13" t="s">
        <v>68</v>
      </c>
      <c r="B67" s="30">
        <v>2</v>
      </c>
      <c r="C67" s="30"/>
      <c r="D67" s="30"/>
      <c r="E67" s="30"/>
      <c r="F67" s="45"/>
      <c r="G67" s="45"/>
      <c r="H67" s="45"/>
      <c r="I67" s="36">
        <f>SUMPRODUCT($B67:$H67,$B$57:$H$57)/SUM($B$57:$H$57)</f>
        <v>2</v>
      </c>
      <c r="J67" s="36">
        <f>J47</f>
        <v>2.5</v>
      </c>
    </row>
    <row r="68" spans="1:10" s="28" customFormat="1">
      <c r="A68" s="13" t="s">
        <v>69</v>
      </c>
      <c r="B68" s="30">
        <v>3.5</v>
      </c>
      <c r="C68" s="30"/>
      <c r="D68" s="30"/>
      <c r="E68" s="30"/>
      <c r="F68" s="45"/>
      <c r="G68" s="45"/>
      <c r="H68" s="45"/>
      <c r="I68" s="36">
        <f>SUMPRODUCT($B68:$H68,$B$57:$H$57)/SUM($B$57:$H$57)</f>
        <v>3.5</v>
      </c>
      <c r="J68" s="36">
        <f>J48</f>
        <v>3.5</v>
      </c>
    </row>
    <row r="69" spans="1:10" s="28" customFormat="1">
      <c r="A69" s="13"/>
      <c r="B69" s="33"/>
      <c r="C69" s="33"/>
      <c r="D69" s="33"/>
      <c r="E69" s="33"/>
      <c r="F69" s="33"/>
      <c r="G69" s="33"/>
      <c r="H69" s="33"/>
      <c r="I69" s="46"/>
      <c r="J69" s="46"/>
    </row>
    <row r="70" spans="1:10" s="28" customFormat="1">
      <c r="A70" s="13" t="s">
        <v>70</v>
      </c>
      <c r="B70" s="30">
        <v>2.5</v>
      </c>
      <c r="C70" s="30"/>
      <c r="D70" s="30"/>
      <c r="E70" s="30"/>
      <c r="F70" s="45"/>
      <c r="G70" s="45"/>
      <c r="H70" s="45"/>
      <c r="I70" s="36">
        <f>SUMPRODUCT($B70:$H70,$B$57:$H$57)/SUM($B$57:$H$57)</f>
        <v>2.5</v>
      </c>
      <c r="J70" s="36">
        <f>J50</f>
        <v>2</v>
      </c>
    </row>
  </sheetData>
  <mergeCells count="3">
    <mergeCell ref="B1:H1"/>
    <mergeCell ref="B30:H30"/>
    <mergeCell ref="B54:H5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61"/>
  <sheetViews>
    <sheetView showGridLines="0" tabSelected="1" topLeftCell="A11" workbookViewId="0">
      <selection activeCell="C57" sqref="C57"/>
    </sheetView>
  </sheetViews>
  <sheetFormatPr baseColWidth="10" defaultRowHeight="16"/>
  <cols>
    <col min="1" max="1" width="26.83203125" style="2" bestFit="1" customWidth="1"/>
    <col min="2" max="2" width="12.5" style="2" bestFit="1" customWidth="1"/>
    <col min="3" max="6" width="11.5" style="2" bestFit="1" customWidth="1"/>
    <col min="7" max="7" width="12.6640625" style="2" bestFit="1" customWidth="1"/>
    <col min="8" max="8" width="15.6640625" style="2" customWidth="1"/>
    <col min="9" max="9" width="17" style="2" customWidth="1"/>
    <col min="10" max="16384" width="10.83203125" style="2"/>
  </cols>
  <sheetData>
    <row r="1" spans="1:26">
      <c r="A1" s="1" t="s">
        <v>0</v>
      </c>
      <c r="H1" s="3" t="s">
        <v>1</v>
      </c>
      <c r="I1" s="3" t="s">
        <v>2</v>
      </c>
      <c r="Z1" s="1"/>
    </row>
    <row r="2" spans="1:26">
      <c r="A2" s="2" t="s">
        <v>3</v>
      </c>
      <c r="B2" s="4">
        <v>1200</v>
      </c>
      <c r="G2" s="5" t="s">
        <v>4</v>
      </c>
      <c r="H2" s="6">
        <f>IRR(B52:I52)</f>
        <v>-0.17636788731481334</v>
      </c>
      <c r="I2" s="6">
        <f>IRR(B61:I61)</f>
        <v>-0.25604119103803902</v>
      </c>
    </row>
    <row r="3" spans="1:26">
      <c r="A3" s="2" t="s">
        <v>5</v>
      </c>
      <c r="B3" s="7">
        <v>4</v>
      </c>
      <c r="C3" s="2" t="s">
        <v>128</v>
      </c>
      <c r="G3" s="5" t="s">
        <v>6</v>
      </c>
      <c r="H3" s="8">
        <f>-AVERAGE(C52:H52)/B52</f>
        <v>5.8378600218044113E-2</v>
      </c>
      <c r="I3" s="8">
        <f>-AVERAGE(C61:H61)/B61</f>
        <v>1.9901782207365971E-2</v>
      </c>
    </row>
    <row r="4" spans="1:26">
      <c r="A4" s="2" t="s">
        <v>7</v>
      </c>
      <c r="B4" s="9">
        <f>1.2%*B14</f>
        <v>1980</v>
      </c>
      <c r="C4" s="2" t="s">
        <v>129</v>
      </c>
      <c r="G4" s="5" t="s">
        <v>8</v>
      </c>
      <c r="H4" s="10">
        <f>SUM(C52:I52)/(-B52)</f>
        <v>0.41618391224344026</v>
      </c>
      <c r="I4" s="10">
        <f>SUM(C61:I61)/-B61</f>
        <v>0.17698102903721899</v>
      </c>
    </row>
    <row r="5" spans="1:26">
      <c r="A5" s="2" t="s">
        <v>9</v>
      </c>
      <c r="B5" s="4">
        <v>100</v>
      </c>
      <c r="C5" s="2" t="s">
        <v>10</v>
      </c>
    </row>
    <row r="6" spans="1:26">
      <c r="A6" s="2" t="s">
        <v>11</v>
      </c>
      <c r="B6" s="11">
        <v>450</v>
      </c>
      <c r="C6" s="2" t="s">
        <v>12</v>
      </c>
    </row>
    <row r="7" spans="1:26">
      <c r="A7" s="2" t="s">
        <v>35</v>
      </c>
      <c r="B7" s="12">
        <v>50</v>
      </c>
      <c r="C7" s="2" t="s">
        <v>10</v>
      </c>
      <c r="G7" s="13" t="s">
        <v>13</v>
      </c>
      <c r="H7" s="14" t="s">
        <v>14</v>
      </c>
    </row>
    <row r="8" spans="1:26">
      <c r="A8" s="2" t="s">
        <v>123</v>
      </c>
      <c r="B8" s="12">
        <v>0</v>
      </c>
      <c r="C8" s="2" t="s">
        <v>10</v>
      </c>
      <c r="G8" s="13" t="s">
        <v>16</v>
      </c>
      <c r="H8" s="14" t="s">
        <v>17</v>
      </c>
    </row>
    <row r="9" spans="1:26">
      <c r="A9" s="2" t="s">
        <v>124</v>
      </c>
      <c r="B9" s="12">
        <v>0</v>
      </c>
      <c r="C9" s="2" t="s">
        <v>10</v>
      </c>
      <c r="G9" s="13" t="s">
        <v>19</v>
      </c>
      <c r="H9" s="14" t="s">
        <v>20</v>
      </c>
    </row>
    <row r="10" spans="1:26">
      <c r="A10" s="2" t="s">
        <v>124</v>
      </c>
      <c r="B10" s="12">
        <v>0</v>
      </c>
      <c r="C10" s="2" t="s">
        <v>10</v>
      </c>
    </row>
    <row r="11" spans="1:26">
      <c r="A11" s="2" t="s">
        <v>124</v>
      </c>
      <c r="B11" s="12">
        <v>0</v>
      </c>
      <c r="C11" s="2" t="s">
        <v>10</v>
      </c>
    </row>
    <row r="12" spans="1:26">
      <c r="A12" s="2" t="s">
        <v>124</v>
      </c>
      <c r="B12" s="12">
        <v>0</v>
      </c>
      <c r="C12" s="2" t="s">
        <v>10</v>
      </c>
    </row>
    <row r="13" spans="1:26">
      <c r="B13" s="7"/>
    </row>
    <row r="14" spans="1:26">
      <c r="A14" s="2" t="s">
        <v>15</v>
      </c>
      <c r="B14" s="4">
        <v>165000</v>
      </c>
    </row>
    <row r="15" spans="1:26">
      <c r="A15" s="2" t="s">
        <v>18</v>
      </c>
      <c r="B15" s="4">
        <v>2500</v>
      </c>
    </row>
    <row r="16" spans="1:26">
      <c r="B16" s="7"/>
    </row>
    <row r="17" spans="1:7">
      <c r="A17" s="2" t="s">
        <v>21</v>
      </c>
      <c r="B17" s="15">
        <v>0.2</v>
      </c>
      <c r="C17" s="16">
        <f>B17*(B14+B15+B24)</f>
        <v>34000</v>
      </c>
    </row>
    <row r="18" spans="1:7">
      <c r="A18" s="2" t="s">
        <v>22</v>
      </c>
      <c r="B18" s="17">
        <f>SUM(B14,B15,B24,B25)-C17</f>
        <v>146000</v>
      </c>
    </row>
    <row r="19" spans="1:7">
      <c r="A19" s="2" t="s">
        <v>23</v>
      </c>
      <c r="B19" s="18">
        <v>0.04</v>
      </c>
    </row>
    <row r="20" spans="1:7">
      <c r="A20" s="2" t="s">
        <v>24</v>
      </c>
      <c r="B20" s="19">
        <v>25</v>
      </c>
      <c r="C20" s="2" t="s">
        <v>25</v>
      </c>
    </row>
    <row r="21" spans="1:7">
      <c r="B21" s="19"/>
    </row>
    <row r="22" spans="1:7">
      <c r="A22" s="2" t="s">
        <v>126</v>
      </c>
      <c r="B22" s="19">
        <v>15</v>
      </c>
      <c r="C22" s="2" t="str">
        <f>IF(OR(B22&lt;1,B22&gt;50),"ERROR, must be between 1 and 50", "Years")</f>
        <v>Years</v>
      </c>
    </row>
    <row r="23" spans="1:7">
      <c r="B23" s="20"/>
    </row>
    <row r="24" spans="1:7">
      <c r="A24" s="2" t="s">
        <v>26</v>
      </c>
      <c r="B24" s="4">
        <v>2500</v>
      </c>
    </row>
    <row r="25" spans="1:7">
      <c r="A25" s="2" t="s">
        <v>27</v>
      </c>
      <c r="B25" s="4">
        <v>10000</v>
      </c>
    </row>
    <row r="26" spans="1:7">
      <c r="B26" s="7"/>
      <c r="G26" s="2" t="s">
        <v>127</v>
      </c>
    </row>
    <row r="27" spans="1:7">
      <c r="A27" s="2" t="s">
        <v>28</v>
      </c>
      <c r="B27" s="15">
        <v>0.03</v>
      </c>
      <c r="C27" s="2" t="s">
        <v>29</v>
      </c>
    </row>
    <row r="28" spans="1:7">
      <c r="A28" s="2" t="s">
        <v>125</v>
      </c>
      <c r="B28" s="15">
        <v>0.03</v>
      </c>
      <c r="C28" s="2" t="s">
        <v>29</v>
      </c>
    </row>
    <row r="29" spans="1:7">
      <c r="B29" s="20"/>
    </row>
    <row r="30" spans="1:7">
      <c r="A30" s="2" t="s">
        <v>30</v>
      </c>
      <c r="B30" s="11">
        <v>180000</v>
      </c>
    </row>
    <row r="31" spans="1:7">
      <c r="A31" s="2" t="s">
        <v>31</v>
      </c>
      <c r="B31" s="15">
        <v>0.06</v>
      </c>
    </row>
    <row r="34" spans="1:53">
      <c r="A34" s="21" t="s">
        <v>32</v>
      </c>
      <c r="B34" s="21" t="s">
        <v>33</v>
      </c>
      <c r="C34" s="21">
        <v>1</v>
      </c>
      <c r="D34" s="21">
        <v>2</v>
      </c>
      <c r="E34" s="21">
        <v>3</v>
      </c>
      <c r="F34" s="21">
        <v>4</v>
      </c>
      <c r="G34" s="21">
        <v>5</v>
      </c>
      <c r="H34" s="21">
        <v>6</v>
      </c>
      <c r="I34" s="21">
        <v>7</v>
      </c>
      <c r="J34" s="21">
        <v>8</v>
      </c>
      <c r="K34" s="21">
        <v>9</v>
      </c>
      <c r="L34" s="21">
        <v>10</v>
      </c>
      <c r="M34" s="21">
        <v>11</v>
      </c>
      <c r="N34" s="21">
        <v>12</v>
      </c>
      <c r="O34" s="21">
        <v>13</v>
      </c>
      <c r="P34" s="21">
        <v>14</v>
      </c>
      <c r="Q34" s="21">
        <v>15</v>
      </c>
      <c r="R34" s="21">
        <v>16</v>
      </c>
      <c r="S34" s="21">
        <v>17</v>
      </c>
      <c r="T34" s="21">
        <v>18</v>
      </c>
      <c r="U34" s="21">
        <v>19</v>
      </c>
      <c r="V34" s="21">
        <v>20</v>
      </c>
      <c r="W34" s="21">
        <v>21</v>
      </c>
      <c r="X34" s="21">
        <v>22</v>
      </c>
      <c r="Y34" s="21">
        <v>23</v>
      </c>
      <c r="Z34" s="21">
        <v>24</v>
      </c>
      <c r="AA34" s="21">
        <v>25</v>
      </c>
      <c r="AB34" s="21">
        <v>26</v>
      </c>
      <c r="AC34" s="21">
        <v>27</v>
      </c>
      <c r="AD34" s="21">
        <v>28</v>
      </c>
      <c r="AE34" s="21">
        <v>29</v>
      </c>
      <c r="AF34" s="21">
        <v>30</v>
      </c>
      <c r="AG34" s="21">
        <v>31</v>
      </c>
      <c r="AH34" s="21">
        <v>32</v>
      </c>
      <c r="AI34" s="21">
        <v>33</v>
      </c>
      <c r="AJ34" s="21">
        <v>34</v>
      </c>
      <c r="AK34" s="21">
        <v>35</v>
      </c>
      <c r="AL34" s="21">
        <v>36</v>
      </c>
      <c r="AM34" s="21">
        <v>37</v>
      </c>
      <c r="AN34" s="21">
        <v>38</v>
      </c>
      <c r="AO34" s="21">
        <v>39</v>
      </c>
      <c r="AP34" s="21">
        <v>40</v>
      </c>
      <c r="AQ34" s="21">
        <v>41</v>
      </c>
      <c r="AR34" s="21">
        <v>42</v>
      </c>
      <c r="AS34" s="21">
        <v>43</v>
      </c>
      <c r="AT34" s="21">
        <v>44</v>
      </c>
      <c r="AU34" s="21">
        <v>45</v>
      </c>
      <c r="AV34" s="21">
        <v>46</v>
      </c>
      <c r="AW34" s="21">
        <v>47</v>
      </c>
      <c r="AX34" s="21">
        <v>48</v>
      </c>
      <c r="AY34" s="21">
        <v>49</v>
      </c>
      <c r="AZ34" s="21">
        <v>50</v>
      </c>
      <c r="BA34" s="21"/>
    </row>
    <row r="35" spans="1:53">
      <c r="A35" s="1" t="s">
        <v>34</v>
      </c>
      <c r="B35" s="1"/>
      <c r="C35" s="22">
        <f>B2*12</f>
        <v>14400</v>
      </c>
      <c r="D35" s="23">
        <f>IF(D$34&gt;$B$22,0,C35*(1+$B$27))</f>
        <v>14832</v>
      </c>
      <c r="E35" s="23">
        <f t="shared" ref="E35:AZ35" si="0">IF(E$34&gt;$B$22,0,D35*(1+$B$27))</f>
        <v>15276.960000000001</v>
      </c>
      <c r="F35" s="23">
        <f t="shared" si="0"/>
        <v>15735.268800000002</v>
      </c>
      <c r="G35" s="23">
        <f t="shared" si="0"/>
        <v>16207.326864000002</v>
      </c>
      <c r="H35" s="23">
        <f t="shared" si="0"/>
        <v>16693.546669920004</v>
      </c>
      <c r="I35" s="23">
        <f t="shared" si="0"/>
        <v>17194.353070017605</v>
      </c>
      <c r="J35" s="23">
        <f t="shared" si="0"/>
        <v>17710.183662118136</v>
      </c>
      <c r="K35" s="23">
        <f t="shared" si="0"/>
        <v>18241.489171981681</v>
      </c>
      <c r="L35" s="23">
        <f t="shared" si="0"/>
        <v>18788.733847141131</v>
      </c>
      <c r="M35" s="23">
        <f t="shared" si="0"/>
        <v>19352.395862555364</v>
      </c>
      <c r="N35" s="23">
        <f t="shared" si="0"/>
        <v>19932.967738432024</v>
      </c>
      <c r="O35" s="23">
        <f t="shared" si="0"/>
        <v>20530.956770584984</v>
      </c>
      <c r="P35" s="23">
        <f t="shared" si="0"/>
        <v>21146.885473702536</v>
      </c>
      <c r="Q35" s="23">
        <f t="shared" si="0"/>
        <v>21781.292037913612</v>
      </c>
      <c r="R35" s="23">
        <f t="shared" si="0"/>
        <v>0</v>
      </c>
      <c r="S35" s="23">
        <f t="shared" si="0"/>
        <v>0</v>
      </c>
      <c r="T35" s="23">
        <f t="shared" si="0"/>
        <v>0</v>
      </c>
      <c r="U35" s="23">
        <f t="shared" si="0"/>
        <v>0</v>
      </c>
      <c r="V35" s="23">
        <f t="shared" si="0"/>
        <v>0</v>
      </c>
      <c r="W35" s="23">
        <f t="shared" si="0"/>
        <v>0</v>
      </c>
      <c r="X35" s="23">
        <f t="shared" si="0"/>
        <v>0</v>
      </c>
      <c r="Y35" s="23">
        <f t="shared" si="0"/>
        <v>0</v>
      </c>
      <c r="Z35" s="23">
        <f t="shared" si="0"/>
        <v>0</v>
      </c>
      <c r="AA35" s="23">
        <f t="shared" si="0"/>
        <v>0</v>
      </c>
      <c r="AB35" s="23">
        <f t="shared" si="0"/>
        <v>0</v>
      </c>
      <c r="AC35" s="23">
        <f t="shared" si="0"/>
        <v>0</v>
      </c>
      <c r="AD35" s="23">
        <f t="shared" si="0"/>
        <v>0</v>
      </c>
      <c r="AE35" s="23">
        <f t="shared" si="0"/>
        <v>0</v>
      </c>
      <c r="AF35" s="23">
        <f t="shared" si="0"/>
        <v>0</v>
      </c>
      <c r="AG35" s="23">
        <f t="shared" si="0"/>
        <v>0</v>
      </c>
      <c r="AH35" s="23">
        <f t="shared" si="0"/>
        <v>0</v>
      </c>
      <c r="AI35" s="23">
        <f t="shared" si="0"/>
        <v>0</v>
      </c>
      <c r="AJ35" s="23">
        <f t="shared" si="0"/>
        <v>0</v>
      </c>
      <c r="AK35" s="23">
        <f t="shared" si="0"/>
        <v>0</v>
      </c>
      <c r="AL35" s="23">
        <f t="shared" si="0"/>
        <v>0</v>
      </c>
      <c r="AM35" s="23">
        <f t="shared" si="0"/>
        <v>0</v>
      </c>
      <c r="AN35" s="23">
        <f t="shared" si="0"/>
        <v>0</v>
      </c>
      <c r="AO35" s="23">
        <f t="shared" si="0"/>
        <v>0</v>
      </c>
      <c r="AP35" s="23">
        <f t="shared" si="0"/>
        <v>0</v>
      </c>
      <c r="AQ35" s="23">
        <f t="shared" si="0"/>
        <v>0</v>
      </c>
      <c r="AR35" s="23">
        <f t="shared" si="0"/>
        <v>0</v>
      </c>
      <c r="AS35" s="23">
        <f t="shared" si="0"/>
        <v>0</v>
      </c>
      <c r="AT35" s="23">
        <f t="shared" si="0"/>
        <v>0</v>
      </c>
      <c r="AU35" s="23">
        <f t="shared" si="0"/>
        <v>0</v>
      </c>
      <c r="AV35" s="23">
        <f t="shared" si="0"/>
        <v>0</v>
      </c>
      <c r="AW35" s="23">
        <f t="shared" si="0"/>
        <v>0</v>
      </c>
      <c r="AX35" s="23">
        <f t="shared" si="0"/>
        <v>0</v>
      </c>
      <c r="AY35" s="23">
        <f t="shared" si="0"/>
        <v>0</v>
      </c>
      <c r="AZ35" s="23">
        <f t="shared" si="0"/>
        <v>0</v>
      </c>
      <c r="BA35" s="23"/>
    </row>
    <row r="36" spans="1:53">
      <c r="C36" s="16"/>
    </row>
    <row r="37" spans="1:53">
      <c r="A37" s="2" t="str">
        <f t="shared" ref="A37:A41" si="1">A3</f>
        <v>Vacancy</v>
      </c>
      <c r="C37" s="24">
        <f>-($B$3/52)*C35</f>
        <v>-1107.6923076923078</v>
      </c>
      <c r="D37" s="24">
        <f>IF(D$34&gt;$B$22,0,-($B$3/52)*D35)</f>
        <v>-1140.9230769230769</v>
      </c>
      <c r="E37" s="24">
        <f t="shared" ref="E37:AZ37" si="2">IF(E$34&gt;$B$22,0,-($B$3/52)*E35)</f>
        <v>-1175.1507692307694</v>
      </c>
      <c r="F37" s="24">
        <f t="shared" si="2"/>
        <v>-1210.4052923076924</v>
      </c>
      <c r="G37" s="24">
        <f t="shared" si="2"/>
        <v>-1246.7174510769232</v>
      </c>
      <c r="H37" s="24">
        <f t="shared" si="2"/>
        <v>-1284.1189746092311</v>
      </c>
      <c r="I37" s="24">
        <f t="shared" si="2"/>
        <v>-1322.6425438475083</v>
      </c>
      <c r="J37" s="24">
        <f t="shared" si="2"/>
        <v>-1362.3218201629336</v>
      </c>
      <c r="K37" s="24">
        <f t="shared" si="2"/>
        <v>-1403.1914747678215</v>
      </c>
      <c r="L37" s="24">
        <f t="shared" si="2"/>
        <v>-1445.2872190108562</v>
      </c>
      <c r="M37" s="24">
        <f t="shared" si="2"/>
        <v>-1488.6458355811819</v>
      </c>
      <c r="N37" s="24">
        <f t="shared" si="2"/>
        <v>-1533.3052106486173</v>
      </c>
      <c r="O37" s="24">
        <f t="shared" si="2"/>
        <v>-1579.3043669680758</v>
      </c>
      <c r="P37" s="24">
        <f t="shared" si="2"/>
        <v>-1626.6834979771181</v>
      </c>
      <c r="Q37" s="24">
        <f t="shared" si="2"/>
        <v>-1675.4840029164318</v>
      </c>
      <c r="R37" s="24">
        <f t="shared" si="2"/>
        <v>0</v>
      </c>
      <c r="S37" s="24">
        <f t="shared" si="2"/>
        <v>0</v>
      </c>
      <c r="T37" s="24">
        <f t="shared" si="2"/>
        <v>0</v>
      </c>
      <c r="U37" s="24">
        <f t="shared" si="2"/>
        <v>0</v>
      </c>
      <c r="V37" s="24">
        <f t="shared" si="2"/>
        <v>0</v>
      </c>
      <c r="W37" s="24">
        <f t="shared" si="2"/>
        <v>0</v>
      </c>
      <c r="X37" s="24">
        <f t="shared" si="2"/>
        <v>0</v>
      </c>
      <c r="Y37" s="24">
        <f t="shared" si="2"/>
        <v>0</v>
      </c>
      <c r="Z37" s="24">
        <f t="shared" si="2"/>
        <v>0</v>
      </c>
      <c r="AA37" s="24">
        <f t="shared" si="2"/>
        <v>0</v>
      </c>
      <c r="AB37" s="24">
        <f t="shared" si="2"/>
        <v>0</v>
      </c>
      <c r="AC37" s="24">
        <f t="shared" si="2"/>
        <v>0</v>
      </c>
      <c r="AD37" s="24">
        <f t="shared" si="2"/>
        <v>0</v>
      </c>
      <c r="AE37" s="24">
        <f t="shared" si="2"/>
        <v>0</v>
      </c>
      <c r="AF37" s="24">
        <f t="shared" si="2"/>
        <v>0</v>
      </c>
      <c r="AG37" s="24">
        <f t="shared" si="2"/>
        <v>0</v>
      </c>
      <c r="AH37" s="24">
        <f t="shared" si="2"/>
        <v>0</v>
      </c>
      <c r="AI37" s="24">
        <f t="shared" si="2"/>
        <v>0</v>
      </c>
      <c r="AJ37" s="24">
        <f t="shared" si="2"/>
        <v>0</v>
      </c>
      <c r="AK37" s="24">
        <f t="shared" si="2"/>
        <v>0</v>
      </c>
      <c r="AL37" s="24">
        <f t="shared" si="2"/>
        <v>0</v>
      </c>
      <c r="AM37" s="24">
        <f t="shared" si="2"/>
        <v>0</v>
      </c>
      <c r="AN37" s="24">
        <f t="shared" si="2"/>
        <v>0</v>
      </c>
      <c r="AO37" s="24">
        <f t="shared" si="2"/>
        <v>0</v>
      </c>
      <c r="AP37" s="24">
        <f t="shared" si="2"/>
        <v>0</v>
      </c>
      <c r="AQ37" s="24">
        <f t="shared" si="2"/>
        <v>0</v>
      </c>
      <c r="AR37" s="24">
        <f t="shared" si="2"/>
        <v>0</v>
      </c>
      <c r="AS37" s="24">
        <f t="shared" si="2"/>
        <v>0</v>
      </c>
      <c r="AT37" s="24">
        <f t="shared" si="2"/>
        <v>0</v>
      </c>
      <c r="AU37" s="24">
        <f t="shared" si="2"/>
        <v>0</v>
      </c>
      <c r="AV37" s="24">
        <f t="shared" si="2"/>
        <v>0</v>
      </c>
      <c r="AW37" s="24">
        <f t="shared" si="2"/>
        <v>0</v>
      </c>
      <c r="AX37" s="24">
        <f t="shared" si="2"/>
        <v>0</v>
      </c>
      <c r="AY37" s="24">
        <f t="shared" si="2"/>
        <v>0</v>
      </c>
      <c r="AZ37" s="24">
        <f t="shared" si="2"/>
        <v>0</v>
      </c>
      <c r="BA37" s="24"/>
    </row>
    <row r="38" spans="1:53">
      <c r="A38" s="2" t="str">
        <f t="shared" si="1"/>
        <v>Property Taxes</v>
      </c>
      <c r="C38" s="24">
        <f>-B4</f>
        <v>-1980</v>
      </c>
      <c r="D38" s="24">
        <f>IF(D$34&gt;$B$22,0,C38)</f>
        <v>-1980</v>
      </c>
      <c r="E38" s="24">
        <f t="shared" ref="E38:AZ38" si="3">IF(E$34&gt;$B$22,0,D38)</f>
        <v>-1980</v>
      </c>
      <c r="F38" s="24">
        <f t="shared" si="3"/>
        <v>-1980</v>
      </c>
      <c r="G38" s="24">
        <f t="shared" si="3"/>
        <v>-1980</v>
      </c>
      <c r="H38" s="24">
        <f t="shared" si="3"/>
        <v>-1980</v>
      </c>
      <c r="I38" s="24">
        <f t="shared" si="3"/>
        <v>-1980</v>
      </c>
      <c r="J38" s="24">
        <f t="shared" si="3"/>
        <v>-1980</v>
      </c>
      <c r="K38" s="24">
        <f t="shared" si="3"/>
        <v>-1980</v>
      </c>
      <c r="L38" s="24">
        <f t="shared" si="3"/>
        <v>-1980</v>
      </c>
      <c r="M38" s="24">
        <f t="shared" si="3"/>
        <v>-1980</v>
      </c>
      <c r="N38" s="24">
        <f t="shared" si="3"/>
        <v>-1980</v>
      </c>
      <c r="O38" s="24">
        <f t="shared" si="3"/>
        <v>-1980</v>
      </c>
      <c r="P38" s="24">
        <f t="shared" si="3"/>
        <v>-1980</v>
      </c>
      <c r="Q38" s="24">
        <f t="shared" si="3"/>
        <v>-1980</v>
      </c>
      <c r="R38" s="24">
        <f t="shared" si="3"/>
        <v>0</v>
      </c>
      <c r="S38" s="24">
        <f t="shared" si="3"/>
        <v>0</v>
      </c>
      <c r="T38" s="24">
        <f t="shared" si="3"/>
        <v>0</v>
      </c>
      <c r="U38" s="24">
        <f t="shared" si="3"/>
        <v>0</v>
      </c>
      <c r="V38" s="24">
        <f t="shared" si="3"/>
        <v>0</v>
      </c>
      <c r="W38" s="24">
        <f t="shared" si="3"/>
        <v>0</v>
      </c>
      <c r="X38" s="24">
        <f t="shared" si="3"/>
        <v>0</v>
      </c>
      <c r="Y38" s="24">
        <f t="shared" si="3"/>
        <v>0</v>
      </c>
      <c r="Z38" s="24">
        <f t="shared" si="3"/>
        <v>0</v>
      </c>
      <c r="AA38" s="24">
        <f t="shared" si="3"/>
        <v>0</v>
      </c>
      <c r="AB38" s="24">
        <f t="shared" si="3"/>
        <v>0</v>
      </c>
      <c r="AC38" s="24">
        <f t="shared" si="3"/>
        <v>0</v>
      </c>
      <c r="AD38" s="24">
        <f t="shared" si="3"/>
        <v>0</v>
      </c>
      <c r="AE38" s="24">
        <f t="shared" si="3"/>
        <v>0</v>
      </c>
      <c r="AF38" s="24">
        <f t="shared" si="3"/>
        <v>0</v>
      </c>
      <c r="AG38" s="24">
        <f t="shared" si="3"/>
        <v>0</v>
      </c>
      <c r="AH38" s="24">
        <f t="shared" si="3"/>
        <v>0</v>
      </c>
      <c r="AI38" s="24">
        <f t="shared" si="3"/>
        <v>0</v>
      </c>
      <c r="AJ38" s="24">
        <f t="shared" si="3"/>
        <v>0</v>
      </c>
      <c r="AK38" s="24">
        <f t="shared" si="3"/>
        <v>0</v>
      </c>
      <c r="AL38" s="24">
        <f t="shared" si="3"/>
        <v>0</v>
      </c>
      <c r="AM38" s="24">
        <f t="shared" si="3"/>
        <v>0</v>
      </c>
      <c r="AN38" s="24">
        <f t="shared" si="3"/>
        <v>0</v>
      </c>
      <c r="AO38" s="24">
        <f t="shared" si="3"/>
        <v>0</v>
      </c>
      <c r="AP38" s="24">
        <f t="shared" si="3"/>
        <v>0</v>
      </c>
      <c r="AQ38" s="24">
        <f t="shared" si="3"/>
        <v>0</v>
      </c>
      <c r="AR38" s="24">
        <f t="shared" si="3"/>
        <v>0</v>
      </c>
      <c r="AS38" s="24">
        <f t="shared" si="3"/>
        <v>0</v>
      </c>
      <c r="AT38" s="24">
        <f t="shared" si="3"/>
        <v>0</v>
      </c>
      <c r="AU38" s="24">
        <f t="shared" si="3"/>
        <v>0</v>
      </c>
      <c r="AV38" s="24">
        <f t="shared" si="3"/>
        <v>0</v>
      </c>
      <c r="AW38" s="24">
        <f t="shared" si="3"/>
        <v>0</v>
      </c>
      <c r="AX38" s="24">
        <f t="shared" si="3"/>
        <v>0</v>
      </c>
      <c r="AY38" s="24">
        <f t="shared" si="3"/>
        <v>0</v>
      </c>
      <c r="AZ38" s="24">
        <f t="shared" si="3"/>
        <v>0</v>
      </c>
      <c r="BA38" s="24"/>
    </row>
    <row r="39" spans="1:53">
      <c r="A39" s="2" t="str">
        <f t="shared" si="1"/>
        <v>Repair &amp; Maintenance</v>
      </c>
      <c r="C39" s="24">
        <f>-B5*12</f>
        <v>-1200</v>
      </c>
      <c r="D39" s="24">
        <f>IF(D$34&gt;$B$22,0,C39*(1+$B$28))</f>
        <v>-1236</v>
      </c>
      <c r="E39" s="24">
        <f t="shared" ref="E39:AZ44" si="4">IF(E$34&gt;$B$22,0,D39*(1+$B$28))</f>
        <v>-1273.08</v>
      </c>
      <c r="F39" s="24">
        <f t="shared" si="4"/>
        <v>-1311.2724000000001</v>
      </c>
      <c r="G39" s="24">
        <f t="shared" si="4"/>
        <v>-1350.610572</v>
      </c>
      <c r="H39" s="24">
        <f t="shared" si="4"/>
        <v>-1391.12888916</v>
      </c>
      <c r="I39" s="24">
        <f t="shared" si="4"/>
        <v>-1432.8627558348001</v>
      </c>
      <c r="J39" s="24">
        <f t="shared" si="4"/>
        <v>-1475.848638509844</v>
      </c>
      <c r="K39" s="24">
        <f t="shared" si="4"/>
        <v>-1520.1240976651393</v>
      </c>
      <c r="L39" s="24">
        <f t="shared" si="4"/>
        <v>-1565.7278205950936</v>
      </c>
      <c r="M39" s="24">
        <f t="shared" si="4"/>
        <v>-1612.6996552129465</v>
      </c>
      <c r="N39" s="24">
        <f t="shared" si="4"/>
        <v>-1661.0806448693349</v>
      </c>
      <c r="O39" s="24">
        <f t="shared" si="4"/>
        <v>-1710.913064215415</v>
      </c>
      <c r="P39" s="24">
        <f t="shared" si="4"/>
        <v>-1762.2404561418775</v>
      </c>
      <c r="Q39" s="24">
        <f t="shared" si="4"/>
        <v>-1815.1076698261338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/>
    </row>
    <row r="40" spans="1:53">
      <c r="A40" s="2" t="str">
        <f t="shared" si="1"/>
        <v>Insurance</v>
      </c>
      <c r="C40" s="24">
        <f>-B6</f>
        <v>-450</v>
      </c>
      <c r="D40" s="24">
        <f t="shared" ref="D40:S46" si="5">IF(D$34&gt;$B$22,0,C40*(1+$B$28))</f>
        <v>-463.5</v>
      </c>
      <c r="E40" s="24">
        <f t="shared" si="5"/>
        <v>-477.40500000000003</v>
      </c>
      <c r="F40" s="24">
        <f t="shared" si="5"/>
        <v>-491.72715000000005</v>
      </c>
      <c r="G40" s="24">
        <f t="shared" si="5"/>
        <v>-506.47896450000007</v>
      </c>
      <c r="H40" s="24">
        <f t="shared" si="5"/>
        <v>-521.67333343500013</v>
      </c>
      <c r="I40" s="24">
        <f t="shared" si="5"/>
        <v>-537.32353343805016</v>
      </c>
      <c r="J40" s="24">
        <f t="shared" si="5"/>
        <v>-553.44323944119174</v>
      </c>
      <c r="K40" s="24">
        <f t="shared" si="5"/>
        <v>-570.04653662442752</v>
      </c>
      <c r="L40" s="24">
        <f t="shared" si="5"/>
        <v>-587.14793272316035</v>
      </c>
      <c r="M40" s="24">
        <f t="shared" si="5"/>
        <v>-604.76237070485513</v>
      </c>
      <c r="N40" s="24">
        <f t="shared" si="5"/>
        <v>-622.90524182600075</v>
      </c>
      <c r="O40" s="24">
        <f t="shared" si="5"/>
        <v>-641.59239908078075</v>
      </c>
      <c r="P40" s="24">
        <f t="shared" si="5"/>
        <v>-660.84017105320424</v>
      </c>
      <c r="Q40" s="24">
        <f t="shared" si="5"/>
        <v>-680.66537618480038</v>
      </c>
      <c r="R40" s="24">
        <f t="shared" si="5"/>
        <v>0</v>
      </c>
      <c r="S40" s="24">
        <f t="shared" si="5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/>
    </row>
    <row r="41" spans="1:53">
      <c r="A41" s="2" t="str">
        <f t="shared" si="1"/>
        <v>Utilities</v>
      </c>
      <c r="C41" s="24">
        <f>-B7*12</f>
        <v>-600</v>
      </c>
      <c r="D41" s="24">
        <f t="shared" si="5"/>
        <v>-618</v>
      </c>
      <c r="E41" s="24">
        <f t="shared" si="4"/>
        <v>-636.54</v>
      </c>
      <c r="F41" s="24">
        <f t="shared" si="4"/>
        <v>-655.63620000000003</v>
      </c>
      <c r="G41" s="24">
        <f t="shared" si="4"/>
        <v>-675.30528600000002</v>
      </c>
      <c r="H41" s="24">
        <f t="shared" si="4"/>
        <v>-695.56444457999999</v>
      </c>
      <c r="I41" s="24">
        <f t="shared" si="4"/>
        <v>-716.43137791740003</v>
      </c>
      <c r="J41" s="24">
        <f t="shared" si="4"/>
        <v>-737.92431925492201</v>
      </c>
      <c r="K41" s="24">
        <f t="shared" si="4"/>
        <v>-760.06204883256964</v>
      </c>
      <c r="L41" s="24">
        <f t="shared" si="4"/>
        <v>-782.86391029754679</v>
      </c>
      <c r="M41" s="24">
        <f t="shared" si="4"/>
        <v>-806.34982760647324</v>
      </c>
      <c r="N41" s="24">
        <f t="shared" si="4"/>
        <v>-830.54032243466747</v>
      </c>
      <c r="O41" s="24">
        <f t="shared" si="4"/>
        <v>-855.45653210770752</v>
      </c>
      <c r="P41" s="24">
        <f t="shared" si="4"/>
        <v>-881.12022807093877</v>
      </c>
      <c r="Q41" s="24">
        <f t="shared" si="4"/>
        <v>-907.55383491306691</v>
      </c>
      <c r="R41" s="24">
        <f t="shared" si="4"/>
        <v>0</v>
      </c>
      <c r="S41" s="24">
        <f t="shared" si="4"/>
        <v>0</v>
      </c>
      <c r="T41" s="24">
        <f t="shared" si="4"/>
        <v>0</v>
      </c>
      <c r="U41" s="24">
        <f t="shared" si="4"/>
        <v>0</v>
      </c>
      <c r="V41" s="24">
        <f t="shared" si="4"/>
        <v>0</v>
      </c>
      <c r="W41" s="24">
        <f t="shared" si="4"/>
        <v>0</v>
      </c>
      <c r="X41" s="24">
        <f t="shared" si="4"/>
        <v>0</v>
      </c>
      <c r="Y41" s="24">
        <f t="shared" si="4"/>
        <v>0</v>
      </c>
      <c r="Z41" s="24">
        <f t="shared" si="4"/>
        <v>0</v>
      </c>
      <c r="AA41" s="24">
        <f t="shared" si="4"/>
        <v>0</v>
      </c>
      <c r="AB41" s="24">
        <f t="shared" si="4"/>
        <v>0</v>
      </c>
      <c r="AC41" s="24">
        <f t="shared" si="4"/>
        <v>0</v>
      </c>
      <c r="AD41" s="24">
        <f t="shared" si="4"/>
        <v>0</v>
      </c>
      <c r="AE41" s="24">
        <f t="shared" si="4"/>
        <v>0</v>
      </c>
      <c r="AF41" s="24">
        <f t="shared" si="4"/>
        <v>0</v>
      </c>
      <c r="AG41" s="24">
        <f t="shared" si="4"/>
        <v>0</v>
      </c>
      <c r="AH41" s="24">
        <f t="shared" si="4"/>
        <v>0</v>
      </c>
      <c r="AI41" s="24">
        <f t="shared" si="4"/>
        <v>0</v>
      </c>
      <c r="AJ41" s="24">
        <f t="shared" si="4"/>
        <v>0</v>
      </c>
      <c r="AK41" s="24">
        <f t="shared" si="4"/>
        <v>0</v>
      </c>
      <c r="AL41" s="24">
        <f t="shared" si="4"/>
        <v>0</v>
      </c>
      <c r="AM41" s="24">
        <f t="shared" si="4"/>
        <v>0</v>
      </c>
      <c r="AN41" s="24">
        <f t="shared" si="4"/>
        <v>0</v>
      </c>
      <c r="AO41" s="24">
        <f t="shared" si="4"/>
        <v>0</v>
      </c>
      <c r="AP41" s="24">
        <f t="shared" si="4"/>
        <v>0</v>
      </c>
      <c r="AQ41" s="24">
        <f t="shared" si="4"/>
        <v>0</v>
      </c>
      <c r="AR41" s="24">
        <f t="shared" si="4"/>
        <v>0</v>
      </c>
      <c r="AS41" s="24">
        <f t="shared" si="4"/>
        <v>0</v>
      </c>
      <c r="AT41" s="24">
        <f t="shared" si="4"/>
        <v>0</v>
      </c>
      <c r="AU41" s="24">
        <f t="shared" si="4"/>
        <v>0</v>
      </c>
      <c r="AV41" s="24">
        <f t="shared" si="4"/>
        <v>0</v>
      </c>
      <c r="AW41" s="24">
        <f t="shared" si="4"/>
        <v>0</v>
      </c>
      <c r="AX41" s="24">
        <f t="shared" si="4"/>
        <v>0</v>
      </c>
      <c r="AY41" s="24">
        <f t="shared" si="4"/>
        <v>0</v>
      </c>
      <c r="AZ41" s="24">
        <f t="shared" si="4"/>
        <v>0</v>
      </c>
      <c r="BA41" s="24"/>
    </row>
    <row r="42" spans="1:53">
      <c r="A42" s="2" t="str">
        <f>A8</f>
        <v>HOA</v>
      </c>
      <c r="C42" s="24">
        <f>-B8*12</f>
        <v>0</v>
      </c>
      <c r="D42" s="24">
        <f t="shared" si="5"/>
        <v>0</v>
      </c>
      <c r="E42" s="24">
        <f t="shared" si="4"/>
        <v>0</v>
      </c>
      <c r="F42" s="24">
        <f t="shared" si="4"/>
        <v>0</v>
      </c>
      <c r="G42" s="24">
        <f t="shared" si="4"/>
        <v>0</v>
      </c>
      <c r="H42" s="24">
        <f t="shared" si="4"/>
        <v>0</v>
      </c>
      <c r="I42" s="24">
        <f t="shared" si="4"/>
        <v>0</v>
      </c>
      <c r="J42" s="24">
        <f t="shared" si="4"/>
        <v>0</v>
      </c>
      <c r="K42" s="24">
        <f t="shared" si="4"/>
        <v>0</v>
      </c>
      <c r="L42" s="24">
        <f t="shared" si="4"/>
        <v>0</v>
      </c>
      <c r="M42" s="24">
        <f t="shared" si="4"/>
        <v>0</v>
      </c>
      <c r="N42" s="24">
        <f t="shared" si="4"/>
        <v>0</v>
      </c>
      <c r="O42" s="24">
        <f t="shared" si="4"/>
        <v>0</v>
      </c>
      <c r="P42" s="24">
        <f t="shared" si="4"/>
        <v>0</v>
      </c>
      <c r="Q42" s="24">
        <f t="shared" si="4"/>
        <v>0</v>
      </c>
      <c r="R42" s="24">
        <f t="shared" si="4"/>
        <v>0</v>
      </c>
      <c r="S42" s="24">
        <f t="shared" si="4"/>
        <v>0</v>
      </c>
      <c r="T42" s="24">
        <f t="shared" si="4"/>
        <v>0</v>
      </c>
      <c r="U42" s="24">
        <f t="shared" si="4"/>
        <v>0</v>
      </c>
      <c r="V42" s="24">
        <f t="shared" si="4"/>
        <v>0</v>
      </c>
      <c r="W42" s="24">
        <f t="shared" si="4"/>
        <v>0</v>
      </c>
      <c r="X42" s="24">
        <f t="shared" si="4"/>
        <v>0</v>
      </c>
      <c r="Y42" s="24">
        <f t="shared" si="4"/>
        <v>0</v>
      </c>
      <c r="Z42" s="24">
        <f t="shared" si="4"/>
        <v>0</v>
      </c>
      <c r="AA42" s="24">
        <f t="shared" si="4"/>
        <v>0</v>
      </c>
      <c r="AB42" s="24">
        <f t="shared" si="4"/>
        <v>0</v>
      </c>
      <c r="AC42" s="24">
        <f t="shared" si="4"/>
        <v>0</v>
      </c>
      <c r="AD42" s="24">
        <f t="shared" si="4"/>
        <v>0</v>
      </c>
      <c r="AE42" s="24">
        <f t="shared" si="4"/>
        <v>0</v>
      </c>
      <c r="AF42" s="24">
        <f t="shared" si="4"/>
        <v>0</v>
      </c>
      <c r="AG42" s="24">
        <f t="shared" si="4"/>
        <v>0</v>
      </c>
      <c r="AH42" s="24">
        <f t="shared" si="4"/>
        <v>0</v>
      </c>
      <c r="AI42" s="24">
        <f t="shared" si="4"/>
        <v>0</v>
      </c>
      <c r="AJ42" s="24">
        <f t="shared" si="4"/>
        <v>0</v>
      </c>
      <c r="AK42" s="24">
        <f t="shared" si="4"/>
        <v>0</v>
      </c>
      <c r="AL42" s="24">
        <f t="shared" si="4"/>
        <v>0</v>
      </c>
      <c r="AM42" s="24">
        <f t="shared" si="4"/>
        <v>0</v>
      </c>
      <c r="AN42" s="24">
        <f t="shared" si="4"/>
        <v>0</v>
      </c>
      <c r="AO42" s="24">
        <f t="shared" si="4"/>
        <v>0</v>
      </c>
      <c r="AP42" s="24">
        <f t="shared" si="4"/>
        <v>0</v>
      </c>
      <c r="AQ42" s="24">
        <f t="shared" si="4"/>
        <v>0</v>
      </c>
      <c r="AR42" s="24">
        <f t="shared" si="4"/>
        <v>0</v>
      </c>
      <c r="AS42" s="24">
        <f t="shared" si="4"/>
        <v>0</v>
      </c>
      <c r="AT42" s="24">
        <f t="shared" si="4"/>
        <v>0</v>
      </c>
      <c r="AU42" s="24">
        <f t="shared" si="4"/>
        <v>0</v>
      </c>
      <c r="AV42" s="24">
        <f t="shared" si="4"/>
        <v>0</v>
      </c>
      <c r="AW42" s="24">
        <f t="shared" si="4"/>
        <v>0</v>
      </c>
      <c r="AX42" s="24">
        <f t="shared" si="4"/>
        <v>0</v>
      </c>
      <c r="AY42" s="24">
        <f t="shared" si="4"/>
        <v>0</v>
      </c>
      <c r="AZ42" s="24">
        <f t="shared" si="4"/>
        <v>0</v>
      </c>
      <c r="BA42" s="24"/>
    </row>
    <row r="43" spans="1:53">
      <c r="A43" s="2" t="str">
        <f t="shared" ref="A43:A46" si="6">A9</f>
        <v>OTHER</v>
      </c>
      <c r="C43" s="24">
        <f>-B9*12</f>
        <v>0</v>
      </c>
      <c r="D43" s="24">
        <f t="shared" si="5"/>
        <v>0</v>
      </c>
      <c r="E43" s="24">
        <f t="shared" si="4"/>
        <v>0</v>
      </c>
      <c r="F43" s="24">
        <f t="shared" si="4"/>
        <v>0</v>
      </c>
      <c r="G43" s="24">
        <f t="shared" si="4"/>
        <v>0</v>
      </c>
      <c r="H43" s="24">
        <f t="shared" si="4"/>
        <v>0</v>
      </c>
      <c r="I43" s="24">
        <f t="shared" si="4"/>
        <v>0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M43" s="24">
        <f t="shared" si="4"/>
        <v>0</v>
      </c>
      <c r="N43" s="24">
        <f t="shared" si="4"/>
        <v>0</v>
      </c>
      <c r="O43" s="24">
        <f t="shared" si="4"/>
        <v>0</v>
      </c>
      <c r="P43" s="24">
        <f t="shared" si="4"/>
        <v>0</v>
      </c>
      <c r="Q43" s="24">
        <f t="shared" si="4"/>
        <v>0</v>
      </c>
      <c r="R43" s="24">
        <f t="shared" si="4"/>
        <v>0</v>
      </c>
      <c r="S43" s="24">
        <f t="shared" si="4"/>
        <v>0</v>
      </c>
      <c r="T43" s="24">
        <f t="shared" si="4"/>
        <v>0</v>
      </c>
      <c r="U43" s="24">
        <f t="shared" si="4"/>
        <v>0</v>
      </c>
      <c r="V43" s="24">
        <f t="shared" si="4"/>
        <v>0</v>
      </c>
      <c r="W43" s="24">
        <f t="shared" si="4"/>
        <v>0</v>
      </c>
      <c r="X43" s="24">
        <f t="shared" si="4"/>
        <v>0</v>
      </c>
      <c r="Y43" s="24">
        <f t="shared" si="4"/>
        <v>0</v>
      </c>
      <c r="Z43" s="24">
        <f t="shared" si="4"/>
        <v>0</v>
      </c>
      <c r="AA43" s="24">
        <f t="shared" si="4"/>
        <v>0</v>
      </c>
      <c r="AB43" s="24">
        <f t="shared" si="4"/>
        <v>0</v>
      </c>
      <c r="AC43" s="24">
        <f t="shared" si="4"/>
        <v>0</v>
      </c>
      <c r="AD43" s="24">
        <f t="shared" si="4"/>
        <v>0</v>
      </c>
      <c r="AE43" s="24">
        <f t="shared" si="4"/>
        <v>0</v>
      </c>
      <c r="AF43" s="24">
        <f t="shared" si="4"/>
        <v>0</v>
      </c>
      <c r="AG43" s="24">
        <f t="shared" si="4"/>
        <v>0</v>
      </c>
      <c r="AH43" s="24">
        <f t="shared" si="4"/>
        <v>0</v>
      </c>
      <c r="AI43" s="24">
        <f t="shared" si="4"/>
        <v>0</v>
      </c>
      <c r="AJ43" s="24">
        <f t="shared" si="4"/>
        <v>0</v>
      </c>
      <c r="AK43" s="24">
        <f t="shared" si="4"/>
        <v>0</v>
      </c>
      <c r="AL43" s="24">
        <f t="shared" si="4"/>
        <v>0</v>
      </c>
      <c r="AM43" s="24">
        <f t="shared" si="4"/>
        <v>0</v>
      </c>
      <c r="AN43" s="24">
        <f t="shared" si="4"/>
        <v>0</v>
      </c>
      <c r="AO43" s="24">
        <f t="shared" si="4"/>
        <v>0</v>
      </c>
      <c r="AP43" s="24">
        <f t="shared" si="4"/>
        <v>0</v>
      </c>
      <c r="AQ43" s="24">
        <f t="shared" si="4"/>
        <v>0</v>
      </c>
      <c r="AR43" s="24">
        <f t="shared" si="4"/>
        <v>0</v>
      </c>
      <c r="AS43" s="24">
        <f t="shared" si="4"/>
        <v>0</v>
      </c>
      <c r="AT43" s="24">
        <f t="shared" si="4"/>
        <v>0</v>
      </c>
      <c r="AU43" s="24">
        <f t="shared" si="4"/>
        <v>0</v>
      </c>
      <c r="AV43" s="24">
        <f t="shared" si="4"/>
        <v>0</v>
      </c>
      <c r="AW43" s="24">
        <f t="shared" si="4"/>
        <v>0</v>
      </c>
      <c r="AX43" s="24">
        <f t="shared" si="4"/>
        <v>0</v>
      </c>
      <c r="AY43" s="24">
        <f t="shared" si="4"/>
        <v>0</v>
      </c>
      <c r="AZ43" s="24">
        <f t="shared" si="4"/>
        <v>0</v>
      </c>
      <c r="BA43" s="24"/>
    </row>
    <row r="44" spans="1:53">
      <c r="A44" s="2" t="str">
        <f t="shared" si="6"/>
        <v>OTHER</v>
      </c>
      <c r="C44" s="24">
        <f t="shared" ref="C43:C46" si="7">-B10*12</f>
        <v>0</v>
      </c>
      <c r="D44" s="24">
        <f t="shared" si="5"/>
        <v>0</v>
      </c>
      <c r="E44" s="24">
        <f t="shared" si="4"/>
        <v>0</v>
      </c>
      <c r="F44" s="24">
        <f t="shared" si="4"/>
        <v>0</v>
      </c>
      <c r="G44" s="24">
        <f t="shared" si="4"/>
        <v>0</v>
      </c>
      <c r="H44" s="24">
        <f t="shared" si="4"/>
        <v>0</v>
      </c>
      <c r="I44" s="24">
        <f t="shared" si="4"/>
        <v>0</v>
      </c>
      <c r="J44" s="24">
        <f t="shared" si="4"/>
        <v>0</v>
      </c>
      <c r="K44" s="24">
        <f t="shared" si="4"/>
        <v>0</v>
      </c>
      <c r="L44" s="24">
        <f t="shared" si="4"/>
        <v>0</v>
      </c>
      <c r="M44" s="24">
        <f t="shared" si="4"/>
        <v>0</v>
      </c>
      <c r="N44" s="24">
        <f t="shared" si="4"/>
        <v>0</v>
      </c>
      <c r="O44" s="24">
        <f t="shared" si="4"/>
        <v>0</v>
      </c>
      <c r="P44" s="24">
        <f t="shared" si="4"/>
        <v>0</v>
      </c>
      <c r="Q44" s="24">
        <f t="shared" si="4"/>
        <v>0</v>
      </c>
      <c r="R44" s="24">
        <f t="shared" si="4"/>
        <v>0</v>
      </c>
      <c r="S44" s="24">
        <f t="shared" si="4"/>
        <v>0</v>
      </c>
      <c r="T44" s="24">
        <f t="shared" si="4"/>
        <v>0</v>
      </c>
      <c r="U44" s="24">
        <f t="shared" si="4"/>
        <v>0</v>
      </c>
      <c r="V44" s="24">
        <f t="shared" si="4"/>
        <v>0</v>
      </c>
      <c r="W44" s="24">
        <f t="shared" si="4"/>
        <v>0</v>
      </c>
      <c r="X44" s="24">
        <f t="shared" si="4"/>
        <v>0</v>
      </c>
      <c r="Y44" s="24">
        <f t="shared" si="4"/>
        <v>0</v>
      </c>
      <c r="Z44" s="24">
        <f t="shared" si="4"/>
        <v>0</v>
      </c>
      <c r="AA44" s="24">
        <f t="shared" si="4"/>
        <v>0</v>
      </c>
      <c r="AB44" s="24">
        <f t="shared" si="4"/>
        <v>0</v>
      </c>
      <c r="AC44" s="24">
        <f t="shared" si="4"/>
        <v>0</v>
      </c>
      <c r="AD44" s="24">
        <f t="shared" si="4"/>
        <v>0</v>
      </c>
      <c r="AE44" s="24">
        <f t="shared" si="4"/>
        <v>0</v>
      </c>
      <c r="AF44" s="24">
        <f t="shared" si="4"/>
        <v>0</v>
      </c>
      <c r="AG44" s="24">
        <f t="shared" si="4"/>
        <v>0</v>
      </c>
      <c r="AH44" s="24">
        <f t="shared" si="4"/>
        <v>0</v>
      </c>
      <c r="AI44" s="24">
        <f t="shared" ref="E44:AZ46" si="8">IF(AI$34&gt;$B$22,0,AH44*(1+$B$28))</f>
        <v>0</v>
      </c>
      <c r="AJ44" s="24">
        <f t="shared" si="8"/>
        <v>0</v>
      </c>
      <c r="AK44" s="24">
        <f t="shared" si="8"/>
        <v>0</v>
      </c>
      <c r="AL44" s="24">
        <f t="shared" si="8"/>
        <v>0</v>
      </c>
      <c r="AM44" s="24">
        <f t="shared" si="8"/>
        <v>0</v>
      </c>
      <c r="AN44" s="24">
        <f t="shared" si="8"/>
        <v>0</v>
      </c>
      <c r="AO44" s="24">
        <f t="shared" si="8"/>
        <v>0</v>
      </c>
      <c r="AP44" s="24">
        <f t="shared" si="8"/>
        <v>0</v>
      </c>
      <c r="AQ44" s="24">
        <f t="shared" si="8"/>
        <v>0</v>
      </c>
      <c r="AR44" s="24">
        <f t="shared" si="8"/>
        <v>0</v>
      </c>
      <c r="AS44" s="24">
        <f t="shared" si="8"/>
        <v>0</v>
      </c>
      <c r="AT44" s="24">
        <f t="shared" si="8"/>
        <v>0</v>
      </c>
      <c r="AU44" s="24">
        <f t="shared" si="8"/>
        <v>0</v>
      </c>
      <c r="AV44" s="24">
        <f t="shared" si="8"/>
        <v>0</v>
      </c>
      <c r="AW44" s="24">
        <f t="shared" si="8"/>
        <v>0</v>
      </c>
      <c r="AX44" s="24">
        <f t="shared" si="8"/>
        <v>0</v>
      </c>
      <c r="AY44" s="24">
        <f t="shared" si="8"/>
        <v>0</v>
      </c>
      <c r="AZ44" s="24">
        <f t="shared" si="8"/>
        <v>0</v>
      </c>
      <c r="BA44" s="24"/>
    </row>
    <row r="45" spans="1:53">
      <c r="A45" s="2" t="str">
        <f t="shared" si="6"/>
        <v>OTHER</v>
      </c>
      <c r="C45" s="24">
        <f t="shared" si="7"/>
        <v>0</v>
      </c>
      <c r="D45" s="24">
        <f t="shared" si="5"/>
        <v>0</v>
      </c>
      <c r="E45" s="24">
        <f t="shared" si="8"/>
        <v>0</v>
      </c>
      <c r="F45" s="24">
        <f t="shared" si="8"/>
        <v>0</v>
      </c>
      <c r="G45" s="24">
        <f t="shared" si="8"/>
        <v>0</v>
      </c>
      <c r="H45" s="24">
        <f t="shared" si="8"/>
        <v>0</v>
      </c>
      <c r="I45" s="24">
        <f t="shared" si="8"/>
        <v>0</v>
      </c>
      <c r="J45" s="24">
        <f t="shared" si="8"/>
        <v>0</v>
      </c>
      <c r="K45" s="24">
        <f t="shared" si="8"/>
        <v>0</v>
      </c>
      <c r="L45" s="24">
        <f t="shared" si="8"/>
        <v>0</v>
      </c>
      <c r="M45" s="24">
        <f t="shared" si="8"/>
        <v>0</v>
      </c>
      <c r="N45" s="24">
        <f t="shared" si="8"/>
        <v>0</v>
      </c>
      <c r="O45" s="24">
        <f t="shared" si="8"/>
        <v>0</v>
      </c>
      <c r="P45" s="24">
        <f t="shared" si="8"/>
        <v>0</v>
      </c>
      <c r="Q45" s="24">
        <f t="shared" si="8"/>
        <v>0</v>
      </c>
      <c r="R45" s="24">
        <f t="shared" si="8"/>
        <v>0</v>
      </c>
      <c r="S45" s="24">
        <f t="shared" si="8"/>
        <v>0</v>
      </c>
      <c r="T45" s="24">
        <f t="shared" si="8"/>
        <v>0</v>
      </c>
      <c r="U45" s="24">
        <f t="shared" si="8"/>
        <v>0</v>
      </c>
      <c r="V45" s="24">
        <f t="shared" si="8"/>
        <v>0</v>
      </c>
      <c r="W45" s="24">
        <f t="shared" si="8"/>
        <v>0</v>
      </c>
      <c r="X45" s="24">
        <f t="shared" si="8"/>
        <v>0</v>
      </c>
      <c r="Y45" s="24">
        <f t="shared" si="8"/>
        <v>0</v>
      </c>
      <c r="Z45" s="24">
        <f t="shared" si="8"/>
        <v>0</v>
      </c>
      <c r="AA45" s="24">
        <f t="shared" si="8"/>
        <v>0</v>
      </c>
      <c r="AB45" s="24">
        <f t="shared" si="8"/>
        <v>0</v>
      </c>
      <c r="AC45" s="24">
        <f t="shared" si="8"/>
        <v>0</v>
      </c>
      <c r="AD45" s="24">
        <f t="shared" si="8"/>
        <v>0</v>
      </c>
      <c r="AE45" s="24">
        <f t="shared" si="8"/>
        <v>0</v>
      </c>
      <c r="AF45" s="24">
        <f t="shared" si="8"/>
        <v>0</v>
      </c>
      <c r="AG45" s="24">
        <f t="shared" si="8"/>
        <v>0</v>
      </c>
      <c r="AH45" s="24">
        <f t="shared" si="8"/>
        <v>0</v>
      </c>
      <c r="AI45" s="24">
        <f t="shared" si="8"/>
        <v>0</v>
      </c>
      <c r="AJ45" s="24">
        <f t="shared" si="8"/>
        <v>0</v>
      </c>
      <c r="AK45" s="24">
        <f t="shared" si="8"/>
        <v>0</v>
      </c>
      <c r="AL45" s="24">
        <f t="shared" si="8"/>
        <v>0</v>
      </c>
      <c r="AM45" s="24">
        <f t="shared" si="8"/>
        <v>0</v>
      </c>
      <c r="AN45" s="24">
        <f t="shared" si="8"/>
        <v>0</v>
      </c>
      <c r="AO45" s="24">
        <f t="shared" si="8"/>
        <v>0</v>
      </c>
      <c r="AP45" s="24">
        <f t="shared" si="8"/>
        <v>0</v>
      </c>
      <c r="AQ45" s="24">
        <f t="shared" si="8"/>
        <v>0</v>
      </c>
      <c r="AR45" s="24">
        <f t="shared" si="8"/>
        <v>0</v>
      </c>
      <c r="AS45" s="24">
        <f t="shared" si="8"/>
        <v>0</v>
      </c>
      <c r="AT45" s="24">
        <f t="shared" si="8"/>
        <v>0</v>
      </c>
      <c r="AU45" s="24">
        <f t="shared" si="8"/>
        <v>0</v>
      </c>
      <c r="AV45" s="24">
        <f t="shared" si="8"/>
        <v>0</v>
      </c>
      <c r="AW45" s="24">
        <f t="shared" si="8"/>
        <v>0</v>
      </c>
      <c r="AX45" s="24">
        <f t="shared" si="8"/>
        <v>0</v>
      </c>
      <c r="AY45" s="24">
        <f t="shared" si="8"/>
        <v>0</v>
      </c>
      <c r="AZ45" s="24">
        <f t="shared" si="8"/>
        <v>0</v>
      </c>
      <c r="BA45" s="24"/>
    </row>
    <row r="46" spans="1:53">
      <c r="A46" s="2" t="str">
        <f t="shared" si="6"/>
        <v>OTHER</v>
      </c>
      <c r="C46" s="24">
        <f t="shared" si="7"/>
        <v>0</v>
      </c>
      <c r="D46" s="24">
        <f t="shared" si="5"/>
        <v>0</v>
      </c>
      <c r="E46" s="24">
        <f t="shared" si="8"/>
        <v>0</v>
      </c>
      <c r="F46" s="24">
        <f t="shared" si="8"/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  <c r="Q46" s="24">
        <f t="shared" si="8"/>
        <v>0</v>
      </c>
      <c r="R46" s="24">
        <f t="shared" si="8"/>
        <v>0</v>
      </c>
      <c r="S46" s="24">
        <f t="shared" si="8"/>
        <v>0</v>
      </c>
      <c r="T46" s="24">
        <f t="shared" si="8"/>
        <v>0</v>
      </c>
      <c r="U46" s="24">
        <f t="shared" si="8"/>
        <v>0</v>
      </c>
      <c r="V46" s="24">
        <f t="shared" si="8"/>
        <v>0</v>
      </c>
      <c r="W46" s="24">
        <f t="shared" si="8"/>
        <v>0</v>
      </c>
      <c r="X46" s="24">
        <f t="shared" si="8"/>
        <v>0</v>
      </c>
      <c r="Y46" s="24">
        <f t="shared" si="8"/>
        <v>0</v>
      </c>
      <c r="Z46" s="24">
        <f t="shared" si="8"/>
        <v>0</v>
      </c>
      <c r="AA46" s="24">
        <f t="shared" si="8"/>
        <v>0</v>
      </c>
      <c r="AB46" s="24">
        <f t="shared" si="8"/>
        <v>0</v>
      </c>
      <c r="AC46" s="24">
        <f t="shared" si="8"/>
        <v>0</v>
      </c>
      <c r="AD46" s="24">
        <f t="shared" si="8"/>
        <v>0</v>
      </c>
      <c r="AE46" s="24">
        <f t="shared" si="8"/>
        <v>0</v>
      </c>
      <c r="AF46" s="24">
        <f t="shared" si="8"/>
        <v>0</v>
      </c>
      <c r="AG46" s="24">
        <f t="shared" si="8"/>
        <v>0</v>
      </c>
      <c r="AH46" s="24">
        <f t="shared" si="8"/>
        <v>0</v>
      </c>
      <c r="AI46" s="24">
        <f t="shared" si="8"/>
        <v>0</v>
      </c>
      <c r="AJ46" s="24">
        <f t="shared" si="8"/>
        <v>0</v>
      </c>
      <c r="AK46" s="24">
        <f t="shared" si="8"/>
        <v>0</v>
      </c>
      <c r="AL46" s="24">
        <f t="shared" si="8"/>
        <v>0</v>
      </c>
      <c r="AM46" s="24">
        <f t="shared" si="8"/>
        <v>0</v>
      </c>
      <c r="AN46" s="24">
        <f t="shared" si="8"/>
        <v>0</v>
      </c>
      <c r="AO46" s="24">
        <f t="shared" si="8"/>
        <v>0</v>
      </c>
      <c r="AP46" s="24">
        <f t="shared" si="8"/>
        <v>0</v>
      </c>
      <c r="AQ46" s="24">
        <f t="shared" si="8"/>
        <v>0</v>
      </c>
      <c r="AR46" s="24">
        <f t="shared" si="8"/>
        <v>0</v>
      </c>
      <c r="AS46" s="24">
        <f t="shared" si="8"/>
        <v>0</v>
      </c>
      <c r="AT46" s="24">
        <f t="shared" si="8"/>
        <v>0</v>
      </c>
      <c r="AU46" s="24">
        <f t="shared" si="8"/>
        <v>0</v>
      </c>
      <c r="AV46" s="24">
        <f t="shared" si="8"/>
        <v>0</v>
      </c>
      <c r="AW46" s="24">
        <f t="shared" si="8"/>
        <v>0</v>
      </c>
      <c r="AX46" s="24">
        <f t="shared" si="8"/>
        <v>0</v>
      </c>
      <c r="AY46" s="24">
        <f t="shared" si="8"/>
        <v>0</v>
      </c>
      <c r="AZ46" s="24">
        <f t="shared" si="8"/>
        <v>0</v>
      </c>
      <c r="BA46" s="24"/>
    </row>
    <row r="48" spans="1:53">
      <c r="A48" s="1" t="s">
        <v>36</v>
      </c>
      <c r="B48" s="1"/>
      <c r="C48" s="22">
        <f>C35+SUM(C37:C46)</f>
        <v>9062.3076923076915</v>
      </c>
      <c r="D48" s="22">
        <f>IF(D$34&gt;$B$22,0,D35+SUM(D37:D46))</f>
        <v>9393.576923076922</v>
      </c>
      <c r="E48" s="22">
        <f t="shared" ref="E48:AZ48" si="9">IF(E$34&gt;$B$22,0,E35+SUM(E37:E46))</f>
        <v>9734.7842307692317</v>
      </c>
      <c r="F48" s="22">
        <f t="shared" si="9"/>
        <v>10086.22775769231</v>
      </c>
      <c r="G48" s="22">
        <f t="shared" si="9"/>
        <v>10448.214590423078</v>
      </c>
      <c r="H48" s="22">
        <f t="shared" si="9"/>
        <v>10821.061028135773</v>
      </c>
      <c r="I48" s="22">
        <f t="shared" si="9"/>
        <v>11205.092858979846</v>
      </c>
      <c r="J48" s="22">
        <f t="shared" si="9"/>
        <v>11600.645644749246</v>
      </c>
      <c r="K48" s="22">
        <f t="shared" si="9"/>
        <v>12008.065014091722</v>
      </c>
      <c r="L48" s="22">
        <f t="shared" si="9"/>
        <v>12427.706964514475</v>
      </c>
      <c r="M48" s="22">
        <f t="shared" si="9"/>
        <v>12859.938173449907</v>
      </c>
      <c r="N48" s="22">
        <f t="shared" si="9"/>
        <v>13305.136318653404</v>
      </c>
      <c r="O48" s="22">
        <f t="shared" si="9"/>
        <v>13763.690408213006</v>
      </c>
      <c r="P48" s="22">
        <f t="shared" si="9"/>
        <v>14236.001120459397</v>
      </c>
      <c r="Q48" s="22">
        <f t="shared" si="9"/>
        <v>14722.481154073179</v>
      </c>
      <c r="R48" s="22">
        <f t="shared" si="9"/>
        <v>0</v>
      </c>
      <c r="S48" s="22">
        <f t="shared" si="9"/>
        <v>0</v>
      </c>
      <c r="T48" s="22">
        <f t="shared" si="9"/>
        <v>0</v>
      </c>
      <c r="U48" s="22">
        <f t="shared" si="9"/>
        <v>0</v>
      </c>
      <c r="V48" s="22">
        <f t="shared" si="9"/>
        <v>0</v>
      </c>
      <c r="W48" s="22">
        <f t="shared" si="9"/>
        <v>0</v>
      </c>
      <c r="X48" s="22">
        <f t="shared" si="9"/>
        <v>0</v>
      </c>
      <c r="Y48" s="22">
        <f t="shared" si="9"/>
        <v>0</v>
      </c>
      <c r="Z48" s="22">
        <f t="shared" si="9"/>
        <v>0</v>
      </c>
      <c r="AA48" s="22">
        <f t="shared" si="9"/>
        <v>0</v>
      </c>
      <c r="AB48" s="22">
        <f t="shared" si="9"/>
        <v>0</v>
      </c>
      <c r="AC48" s="22">
        <f t="shared" si="9"/>
        <v>0</v>
      </c>
      <c r="AD48" s="22">
        <f t="shared" si="9"/>
        <v>0</v>
      </c>
      <c r="AE48" s="22">
        <f t="shared" si="9"/>
        <v>0</v>
      </c>
      <c r="AF48" s="22">
        <f t="shared" si="9"/>
        <v>0</v>
      </c>
      <c r="AG48" s="22">
        <f t="shared" si="9"/>
        <v>0</v>
      </c>
      <c r="AH48" s="22">
        <f t="shared" si="9"/>
        <v>0</v>
      </c>
      <c r="AI48" s="22">
        <f t="shared" si="9"/>
        <v>0</v>
      </c>
      <c r="AJ48" s="22">
        <f t="shared" si="9"/>
        <v>0</v>
      </c>
      <c r="AK48" s="22">
        <f t="shared" si="9"/>
        <v>0</v>
      </c>
      <c r="AL48" s="22">
        <f t="shared" si="9"/>
        <v>0</v>
      </c>
      <c r="AM48" s="22">
        <f t="shared" si="9"/>
        <v>0</v>
      </c>
      <c r="AN48" s="22">
        <f t="shared" si="9"/>
        <v>0</v>
      </c>
      <c r="AO48" s="22">
        <f t="shared" si="9"/>
        <v>0</v>
      </c>
      <c r="AP48" s="22">
        <f t="shared" si="9"/>
        <v>0</v>
      </c>
      <c r="AQ48" s="22">
        <f t="shared" si="9"/>
        <v>0</v>
      </c>
      <c r="AR48" s="22">
        <f t="shared" si="9"/>
        <v>0</v>
      </c>
      <c r="AS48" s="22">
        <f t="shared" si="9"/>
        <v>0</v>
      </c>
      <c r="AT48" s="22">
        <f t="shared" si="9"/>
        <v>0</v>
      </c>
      <c r="AU48" s="22">
        <f t="shared" si="9"/>
        <v>0</v>
      </c>
      <c r="AV48" s="22">
        <f t="shared" si="9"/>
        <v>0</v>
      </c>
      <c r="AW48" s="22">
        <f t="shared" si="9"/>
        <v>0</v>
      </c>
      <c r="AX48" s="22">
        <f t="shared" si="9"/>
        <v>0</v>
      </c>
      <c r="AY48" s="22">
        <f t="shared" si="9"/>
        <v>0</v>
      </c>
      <c r="AZ48" s="22">
        <f t="shared" si="9"/>
        <v>0</v>
      </c>
      <c r="BA48" s="22"/>
    </row>
    <row r="49" spans="1:53">
      <c r="A49" s="2" t="s">
        <v>37</v>
      </c>
      <c r="C49" s="25">
        <f>IF(C34&gt;$B$22,0,IF(C34=$B$22,$B$30*(1-$B$31),B49))</f>
        <v>0</v>
      </c>
      <c r="D49" s="25">
        <f t="shared" ref="D49:AZ49" si="10">IF(D34&gt;$B$22,0,IF(D34=$B$22,$B$30*(1-$B$31),C49))</f>
        <v>0</v>
      </c>
      <c r="E49" s="25">
        <f t="shared" si="10"/>
        <v>0</v>
      </c>
      <c r="F49" s="25">
        <f t="shared" si="10"/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10"/>
        <v>0</v>
      </c>
      <c r="K49" s="25">
        <f t="shared" si="10"/>
        <v>0</v>
      </c>
      <c r="L49" s="25">
        <f t="shared" si="10"/>
        <v>0</v>
      </c>
      <c r="M49" s="25">
        <f t="shared" si="10"/>
        <v>0</v>
      </c>
      <c r="N49" s="25">
        <f t="shared" si="10"/>
        <v>0</v>
      </c>
      <c r="O49" s="25">
        <f t="shared" si="10"/>
        <v>0</v>
      </c>
      <c r="P49" s="25">
        <f t="shared" si="10"/>
        <v>0</v>
      </c>
      <c r="Q49" s="25">
        <f t="shared" si="10"/>
        <v>169200</v>
      </c>
      <c r="R49" s="25">
        <f t="shared" si="10"/>
        <v>0</v>
      </c>
      <c r="S49" s="25">
        <f t="shared" si="10"/>
        <v>0</v>
      </c>
      <c r="T49" s="25">
        <f t="shared" si="10"/>
        <v>0</v>
      </c>
      <c r="U49" s="25">
        <f t="shared" si="10"/>
        <v>0</v>
      </c>
      <c r="V49" s="25">
        <f t="shared" si="10"/>
        <v>0</v>
      </c>
      <c r="W49" s="25">
        <f t="shared" si="10"/>
        <v>0</v>
      </c>
      <c r="X49" s="25">
        <f t="shared" si="10"/>
        <v>0</v>
      </c>
      <c r="Y49" s="25">
        <f t="shared" si="10"/>
        <v>0</v>
      </c>
      <c r="Z49" s="25">
        <f t="shared" si="10"/>
        <v>0</v>
      </c>
      <c r="AA49" s="25">
        <f t="shared" si="10"/>
        <v>0</v>
      </c>
      <c r="AB49" s="25">
        <f t="shared" si="10"/>
        <v>0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25">
        <f t="shared" si="10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25">
        <f t="shared" si="10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  <c r="AT49" s="25">
        <f t="shared" si="10"/>
        <v>0</v>
      </c>
      <c r="AU49" s="25">
        <f t="shared" si="10"/>
        <v>0</v>
      </c>
      <c r="AV49" s="25">
        <f t="shared" si="10"/>
        <v>0</v>
      </c>
      <c r="AW49" s="25">
        <f t="shared" si="10"/>
        <v>0</v>
      </c>
      <c r="AX49" s="25">
        <f t="shared" si="10"/>
        <v>0</v>
      </c>
      <c r="AY49" s="25">
        <f t="shared" si="10"/>
        <v>0</v>
      </c>
      <c r="AZ49" s="25">
        <f t="shared" si="10"/>
        <v>0</v>
      </c>
      <c r="BA49" s="25"/>
    </row>
    <row r="50" spans="1:53">
      <c r="A50" s="2" t="s">
        <v>38</v>
      </c>
      <c r="B50" s="24">
        <f>-B24</f>
        <v>-2500</v>
      </c>
      <c r="C50" s="24">
        <f>IF(C34=$B$22,-$B$25,0)</f>
        <v>0</v>
      </c>
      <c r="D50" s="24">
        <f t="shared" ref="D50:AZ50" si="11">IF(D34=$B$22,-$B$25,0)</f>
        <v>0</v>
      </c>
      <c r="E50" s="24">
        <f t="shared" si="11"/>
        <v>0</v>
      </c>
      <c r="F50" s="24">
        <f t="shared" si="11"/>
        <v>0</v>
      </c>
      <c r="G50" s="24">
        <f t="shared" si="11"/>
        <v>0</v>
      </c>
      <c r="H50" s="24">
        <f t="shared" si="11"/>
        <v>0</v>
      </c>
      <c r="I50" s="24">
        <f t="shared" si="11"/>
        <v>0</v>
      </c>
      <c r="J50" s="24">
        <f t="shared" si="11"/>
        <v>0</v>
      </c>
      <c r="K50" s="24">
        <f t="shared" si="11"/>
        <v>0</v>
      </c>
      <c r="L50" s="24">
        <f t="shared" si="11"/>
        <v>0</v>
      </c>
      <c r="M50" s="24">
        <f t="shared" si="11"/>
        <v>0</v>
      </c>
      <c r="N50" s="24">
        <f t="shared" si="11"/>
        <v>0</v>
      </c>
      <c r="O50" s="24">
        <f t="shared" si="11"/>
        <v>0</v>
      </c>
      <c r="P50" s="24">
        <f t="shared" si="11"/>
        <v>0</v>
      </c>
      <c r="Q50" s="24">
        <f t="shared" si="11"/>
        <v>-10000</v>
      </c>
      <c r="R50" s="24">
        <f t="shared" si="11"/>
        <v>0</v>
      </c>
      <c r="S50" s="24">
        <f t="shared" si="11"/>
        <v>0</v>
      </c>
      <c r="T50" s="24">
        <f t="shared" si="11"/>
        <v>0</v>
      </c>
      <c r="U50" s="24">
        <f t="shared" si="11"/>
        <v>0</v>
      </c>
      <c r="V50" s="24">
        <f t="shared" si="11"/>
        <v>0</v>
      </c>
      <c r="W50" s="24">
        <f t="shared" si="11"/>
        <v>0</v>
      </c>
      <c r="X50" s="24">
        <f t="shared" si="11"/>
        <v>0</v>
      </c>
      <c r="Y50" s="24">
        <f t="shared" si="11"/>
        <v>0</v>
      </c>
      <c r="Z50" s="24">
        <f t="shared" si="11"/>
        <v>0</v>
      </c>
      <c r="AA50" s="24">
        <f t="shared" si="11"/>
        <v>0</v>
      </c>
      <c r="AB50" s="24">
        <f t="shared" si="11"/>
        <v>0</v>
      </c>
      <c r="AC50" s="24">
        <f t="shared" si="11"/>
        <v>0</v>
      </c>
      <c r="AD50" s="24">
        <f t="shared" si="11"/>
        <v>0</v>
      </c>
      <c r="AE50" s="24">
        <f t="shared" si="11"/>
        <v>0</v>
      </c>
      <c r="AF50" s="24">
        <f t="shared" si="11"/>
        <v>0</v>
      </c>
      <c r="AG50" s="24">
        <f t="shared" si="11"/>
        <v>0</v>
      </c>
      <c r="AH50" s="24">
        <f t="shared" si="11"/>
        <v>0</v>
      </c>
      <c r="AI50" s="24">
        <f t="shared" si="11"/>
        <v>0</v>
      </c>
      <c r="AJ50" s="24">
        <f t="shared" si="11"/>
        <v>0</v>
      </c>
      <c r="AK50" s="24">
        <f t="shared" si="11"/>
        <v>0</v>
      </c>
      <c r="AL50" s="24">
        <f t="shared" si="11"/>
        <v>0</v>
      </c>
      <c r="AM50" s="24">
        <f t="shared" si="11"/>
        <v>0</v>
      </c>
      <c r="AN50" s="24">
        <f t="shared" si="11"/>
        <v>0</v>
      </c>
      <c r="AO50" s="24">
        <f t="shared" si="11"/>
        <v>0</v>
      </c>
      <c r="AP50" s="24">
        <f t="shared" si="11"/>
        <v>0</v>
      </c>
      <c r="AQ50" s="24">
        <f t="shared" si="11"/>
        <v>0</v>
      </c>
      <c r="AR50" s="24">
        <f t="shared" si="11"/>
        <v>0</v>
      </c>
      <c r="AS50" s="24">
        <f t="shared" si="11"/>
        <v>0</v>
      </c>
      <c r="AT50" s="24">
        <f t="shared" si="11"/>
        <v>0</v>
      </c>
      <c r="AU50" s="24">
        <f t="shared" si="11"/>
        <v>0</v>
      </c>
      <c r="AV50" s="24">
        <f t="shared" si="11"/>
        <v>0</v>
      </c>
      <c r="AW50" s="24">
        <f t="shared" si="11"/>
        <v>0</v>
      </c>
      <c r="AX50" s="24">
        <f t="shared" si="11"/>
        <v>0</v>
      </c>
      <c r="AY50" s="24">
        <f t="shared" si="11"/>
        <v>0</v>
      </c>
      <c r="AZ50" s="24">
        <f t="shared" si="11"/>
        <v>0</v>
      </c>
      <c r="BA50" s="24"/>
    </row>
    <row r="51" spans="1:53">
      <c r="B51" s="1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1:53">
      <c r="A52" s="26" t="s">
        <v>39</v>
      </c>
      <c r="B52" s="27">
        <f>-SUM(B14,B15)+B50</f>
        <v>-170000</v>
      </c>
      <c r="C52" s="74">
        <f>C48+C49+C50</f>
        <v>9062.3076923076915</v>
      </c>
      <c r="D52" s="74">
        <f t="shared" ref="D52:AZ52" si="12">D48+D49+D50</f>
        <v>9393.576923076922</v>
      </c>
      <c r="E52" s="74">
        <f t="shared" si="12"/>
        <v>9734.7842307692317</v>
      </c>
      <c r="F52" s="74">
        <f t="shared" si="12"/>
        <v>10086.22775769231</v>
      </c>
      <c r="G52" s="74">
        <f t="shared" si="12"/>
        <v>10448.214590423078</v>
      </c>
      <c r="H52" s="74">
        <f t="shared" si="12"/>
        <v>10821.061028135773</v>
      </c>
      <c r="I52" s="74">
        <f t="shared" si="12"/>
        <v>11205.092858979846</v>
      </c>
      <c r="J52" s="74">
        <f t="shared" si="12"/>
        <v>11600.645644749246</v>
      </c>
      <c r="K52" s="74">
        <f t="shared" si="12"/>
        <v>12008.065014091722</v>
      </c>
      <c r="L52" s="74">
        <f t="shared" si="12"/>
        <v>12427.706964514475</v>
      </c>
      <c r="M52" s="74">
        <f t="shared" si="12"/>
        <v>12859.938173449907</v>
      </c>
      <c r="N52" s="74">
        <f t="shared" si="12"/>
        <v>13305.136318653404</v>
      </c>
      <c r="O52" s="74">
        <f t="shared" si="12"/>
        <v>13763.690408213006</v>
      </c>
      <c r="P52" s="74">
        <f t="shared" si="12"/>
        <v>14236.001120459397</v>
      </c>
      <c r="Q52" s="74">
        <f t="shared" si="12"/>
        <v>173922.48115407318</v>
      </c>
      <c r="R52" s="74">
        <f t="shared" si="12"/>
        <v>0</v>
      </c>
      <c r="S52" s="74">
        <f t="shared" si="12"/>
        <v>0</v>
      </c>
      <c r="T52" s="74">
        <f t="shared" si="12"/>
        <v>0</v>
      </c>
      <c r="U52" s="74">
        <f t="shared" si="12"/>
        <v>0</v>
      </c>
      <c r="V52" s="74">
        <f t="shared" si="12"/>
        <v>0</v>
      </c>
      <c r="W52" s="74">
        <f t="shared" si="12"/>
        <v>0</v>
      </c>
      <c r="X52" s="74">
        <f t="shared" si="12"/>
        <v>0</v>
      </c>
      <c r="Y52" s="74">
        <f t="shared" si="12"/>
        <v>0</v>
      </c>
      <c r="Z52" s="74">
        <f t="shared" si="12"/>
        <v>0</v>
      </c>
      <c r="AA52" s="74">
        <f t="shared" si="12"/>
        <v>0</v>
      </c>
      <c r="AB52" s="74">
        <f t="shared" si="12"/>
        <v>0</v>
      </c>
      <c r="AC52" s="74">
        <f t="shared" si="12"/>
        <v>0</v>
      </c>
      <c r="AD52" s="74">
        <f t="shared" si="12"/>
        <v>0</v>
      </c>
      <c r="AE52" s="74">
        <f t="shared" si="12"/>
        <v>0</v>
      </c>
      <c r="AF52" s="74">
        <f t="shared" si="12"/>
        <v>0</v>
      </c>
      <c r="AG52" s="74">
        <f t="shared" si="12"/>
        <v>0</v>
      </c>
      <c r="AH52" s="74">
        <f t="shared" si="12"/>
        <v>0</v>
      </c>
      <c r="AI52" s="74">
        <f t="shared" si="12"/>
        <v>0</v>
      </c>
      <c r="AJ52" s="74">
        <f t="shared" si="12"/>
        <v>0</v>
      </c>
      <c r="AK52" s="74">
        <f t="shared" si="12"/>
        <v>0</v>
      </c>
      <c r="AL52" s="74">
        <f t="shared" si="12"/>
        <v>0</v>
      </c>
      <c r="AM52" s="74">
        <f t="shared" si="12"/>
        <v>0</v>
      </c>
      <c r="AN52" s="74">
        <f t="shared" si="12"/>
        <v>0</v>
      </c>
      <c r="AO52" s="74">
        <f t="shared" si="12"/>
        <v>0</v>
      </c>
      <c r="AP52" s="74">
        <f t="shared" si="12"/>
        <v>0</v>
      </c>
      <c r="AQ52" s="74">
        <f t="shared" si="12"/>
        <v>0</v>
      </c>
      <c r="AR52" s="74">
        <f t="shared" si="12"/>
        <v>0</v>
      </c>
      <c r="AS52" s="74">
        <f t="shared" si="12"/>
        <v>0</v>
      </c>
      <c r="AT52" s="74">
        <f t="shared" si="12"/>
        <v>0</v>
      </c>
      <c r="AU52" s="74">
        <f t="shared" si="12"/>
        <v>0</v>
      </c>
      <c r="AV52" s="74">
        <f t="shared" si="12"/>
        <v>0</v>
      </c>
      <c r="AW52" s="74">
        <f t="shared" si="12"/>
        <v>0</v>
      </c>
      <c r="AX52" s="74">
        <f t="shared" si="12"/>
        <v>0</v>
      </c>
      <c r="AY52" s="74">
        <f t="shared" si="12"/>
        <v>0</v>
      </c>
      <c r="AZ52" s="74">
        <f t="shared" si="12"/>
        <v>0</v>
      </c>
      <c r="BA52" s="27"/>
    </row>
    <row r="54" spans="1:53">
      <c r="A54" s="2" t="s">
        <v>40</v>
      </c>
      <c r="C54" s="24">
        <f>IF(B22&gt;B20,IF(C34&lt;($B$20+1),PMT($B$19/12,$B20*12,$B$18)*12,0),IF(C34&lt;($B$22+1),PMT($B$19/12,$B20*12,$B$18)*12,0))</f>
        <v>-9247.7014420170581</v>
      </c>
      <c r="D54" s="24">
        <f t="shared" ref="D54:AZ54" si="13">IF(C22&gt;C20,IF(D34&lt;($B$20+1),PMT($B$19/12,$B20*12,$B$18)*12,0),IF(D34&lt;($B$22+1),PMT($B$19/12,$B20*12,$B$18)*12,0))</f>
        <v>-9247.7014420170581</v>
      </c>
      <c r="E54" s="24">
        <f t="shared" si="13"/>
        <v>-9247.7014420170581</v>
      </c>
      <c r="F54" s="24">
        <f t="shared" si="13"/>
        <v>-9247.7014420170581</v>
      </c>
      <c r="G54" s="24">
        <f t="shared" si="13"/>
        <v>-9247.7014420170581</v>
      </c>
      <c r="H54" s="24">
        <f t="shared" si="13"/>
        <v>-9247.7014420170581</v>
      </c>
      <c r="I54" s="24">
        <f t="shared" si="13"/>
        <v>-9247.7014420170581</v>
      </c>
      <c r="J54" s="24">
        <f t="shared" si="13"/>
        <v>-9247.7014420170581</v>
      </c>
      <c r="K54" s="24">
        <f t="shared" si="13"/>
        <v>-9247.7014420170581</v>
      </c>
      <c r="L54" s="24">
        <f t="shared" si="13"/>
        <v>-9247.7014420170581</v>
      </c>
      <c r="M54" s="24">
        <f t="shared" si="13"/>
        <v>-9247.7014420170581</v>
      </c>
      <c r="N54" s="24">
        <f t="shared" si="13"/>
        <v>-9247.7014420170581</v>
      </c>
      <c r="O54" s="24">
        <f t="shared" si="13"/>
        <v>-9247.7014420170581</v>
      </c>
      <c r="P54" s="24">
        <f t="shared" si="13"/>
        <v>-9247.7014420170581</v>
      </c>
      <c r="Q54" s="24">
        <f t="shared" si="13"/>
        <v>-9247.7014420170581</v>
      </c>
      <c r="R54" s="24">
        <f t="shared" si="13"/>
        <v>0</v>
      </c>
      <c r="S54" s="24">
        <f t="shared" si="13"/>
        <v>0</v>
      </c>
      <c r="T54" s="24">
        <f t="shared" si="13"/>
        <v>0</v>
      </c>
      <c r="U54" s="24">
        <f t="shared" si="13"/>
        <v>0</v>
      </c>
      <c r="V54" s="24">
        <f t="shared" si="13"/>
        <v>0</v>
      </c>
      <c r="W54" s="24">
        <f t="shared" si="13"/>
        <v>0</v>
      </c>
      <c r="X54" s="24">
        <f t="shared" si="13"/>
        <v>0</v>
      </c>
      <c r="Y54" s="24">
        <f t="shared" si="13"/>
        <v>0</v>
      </c>
      <c r="Z54" s="24">
        <f t="shared" si="13"/>
        <v>0</v>
      </c>
      <c r="AA54" s="24">
        <f t="shared" si="13"/>
        <v>0</v>
      </c>
      <c r="AB54" s="24">
        <f t="shared" si="13"/>
        <v>0</v>
      </c>
      <c r="AC54" s="24">
        <f t="shared" si="13"/>
        <v>0</v>
      </c>
      <c r="AD54" s="24">
        <f t="shared" si="13"/>
        <v>0</v>
      </c>
      <c r="AE54" s="24">
        <f t="shared" si="13"/>
        <v>0</v>
      </c>
      <c r="AF54" s="24">
        <f t="shared" si="13"/>
        <v>0</v>
      </c>
      <c r="AG54" s="24">
        <f t="shared" si="13"/>
        <v>0</v>
      </c>
      <c r="AH54" s="24">
        <f t="shared" si="13"/>
        <v>0</v>
      </c>
      <c r="AI54" s="24">
        <f t="shared" si="13"/>
        <v>0</v>
      </c>
      <c r="AJ54" s="24">
        <f t="shared" si="13"/>
        <v>0</v>
      </c>
      <c r="AK54" s="24">
        <f t="shared" si="13"/>
        <v>0</v>
      </c>
      <c r="AL54" s="24">
        <f t="shared" si="13"/>
        <v>0</v>
      </c>
      <c r="AM54" s="24">
        <f t="shared" si="13"/>
        <v>0</v>
      </c>
      <c r="AN54" s="24">
        <f t="shared" si="13"/>
        <v>0</v>
      </c>
      <c r="AO54" s="24">
        <f t="shared" si="13"/>
        <v>0</v>
      </c>
      <c r="AP54" s="24">
        <f t="shared" si="13"/>
        <v>0</v>
      </c>
      <c r="AQ54" s="24">
        <f t="shared" si="13"/>
        <v>0</v>
      </c>
      <c r="AR54" s="24">
        <f t="shared" si="13"/>
        <v>0</v>
      </c>
      <c r="AS54" s="24">
        <f t="shared" si="13"/>
        <v>0</v>
      </c>
      <c r="AT54" s="24">
        <f t="shared" si="13"/>
        <v>0</v>
      </c>
      <c r="AU54" s="24">
        <f t="shared" si="13"/>
        <v>0</v>
      </c>
      <c r="AV54" s="24">
        <f t="shared" si="13"/>
        <v>0</v>
      </c>
      <c r="AW54" s="24">
        <f t="shared" si="13"/>
        <v>0</v>
      </c>
      <c r="AX54" s="24">
        <f t="shared" si="13"/>
        <v>0</v>
      </c>
      <c r="AY54" s="24">
        <f t="shared" si="13"/>
        <v>0</v>
      </c>
      <c r="AZ54" s="24">
        <f t="shared" si="13"/>
        <v>0</v>
      </c>
      <c r="BA54" s="24"/>
    </row>
    <row r="55" spans="1:53">
      <c r="A55" s="2" t="s">
        <v>41</v>
      </c>
      <c r="C55" s="24">
        <f>IF(B22&gt;B20,IF(C34&gt;$B$20,0,-B59*$B$19), IF(C34&gt;$B$22,0,-B59*$B$19))</f>
        <v>-5840</v>
      </c>
      <c r="D55" s="24">
        <f t="shared" ref="D55:AZ55" si="14">IF(D34&gt;$B$20,0,-C59*$B$19)</f>
        <v>-5703.6919423193185</v>
      </c>
      <c r="E55" s="24">
        <f t="shared" si="14"/>
        <v>-5561.9315623314087</v>
      </c>
      <c r="F55" s="24">
        <f t="shared" si="14"/>
        <v>-5414.5007671439826</v>
      </c>
      <c r="G55" s="24">
        <f t="shared" si="14"/>
        <v>-5261.1727401490589</v>
      </c>
      <c r="H55" s="24">
        <f t="shared" si="14"/>
        <v>-5101.711592074339</v>
      </c>
      <c r="I55" s="24">
        <f t="shared" si="14"/>
        <v>-4935.8719980766309</v>
      </c>
      <c r="J55" s="24">
        <f t="shared" si="14"/>
        <v>-4763.3988203190138</v>
      </c>
      <c r="K55" s="24">
        <f t="shared" si="14"/>
        <v>-4584.0267154510911</v>
      </c>
      <c r="L55" s="24">
        <f t="shared" si="14"/>
        <v>-4397.4797263884529</v>
      </c>
      <c r="M55" s="24">
        <f t="shared" si="14"/>
        <v>-4203.4708577633082</v>
      </c>
      <c r="N55" s="24">
        <f t="shared" si="14"/>
        <v>-4001.7016343931587</v>
      </c>
      <c r="O55" s="24">
        <f t="shared" si="14"/>
        <v>-3791.8616420882026</v>
      </c>
      <c r="P55" s="24">
        <f t="shared" si="14"/>
        <v>-3573.6280500910484</v>
      </c>
      <c r="Q55" s="24">
        <f t="shared" si="14"/>
        <v>-3346.6651144140083</v>
      </c>
      <c r="R55" s="24">
        <f t="shared" si="14"/>
        <v>-3110.6236613098858</v>
      </c>
      <c r="S55" s="24">
        <f t="shared" si="14"/>
        <v>-3235.0486077622813</v>
      </c>
      <c r="T55" s="24">
        <f t="shared" si="14"/>
        <v>-3364.4505520727726</v>
      </c>
      <c r="U55" s="24">
        <f t="shared" si="14"/>
        <v>-3499.0285741556831</v>
      </c>
      <c r="V55" s="24">
        <f t="shared" si="14"/>
        <v>-3638.9897171219109</v>
      </c>
      <c r="W55" s="24">
        <f t="shared" si="14"/>
        <v>-3784.5493058067868</v>
      </c>
      <c r="X55" s="24">
        <f t="shared" si="14"/>
        <v>-3935.9312780390583</v>
      </c>
      <c r="Y55" s="24">
        <f t="shared" si="14"/>
        <v>-4093.3685291606207</v>
      </c>
      <c r="Z55" s="24">
        <f t="shared" si="14"/>
        <v>-4257.1032703270457</v>
      </c>
      <c r="AA55" s="24">
        <f t="shared" si="14"/>
        <v>-4427.3874011401276</v>
      </c>
      <c r="AB55" s="24">
        <f t="shared" si="14"/>
        <v>0</v>
      </c>
      <c r="AC55" s="24">
        <f t="shared" si="14"/>
        <v>0</v>
      </c>
      <c r="AD55" s="24">
        <f t="shared" si="14"/>
        <v>0</v>
      </c>
      <c r="AE55" s="24">
        <f t="shared" si="14"/>
        <v>0</v>
      </c>
      <c r="AF55" s="24">
        <f t="shared" si="14"/>
        <v>0</v>
      </c>
      <c r="AG55" s="24">
        <f t="shared" si="14"/>
        <v>0</v>
      </c>
      <c r="AH55" s="24">
        <f t="shared" si="14"/>
        <v>0</v>
      </c>
      <c r="AI55" s="24">
        <f t="shared" si="14"/>
        <v>0</v>
      </c>
      <c r="AJ55" s="24">
        <f t="shared" si="14"/>
        <v>0</v>
      </c>
      <c r="AK55" s="24">
        <f t="shared" si="14"/>
        <v>0</v>
      </c>
      <c r="AL55" s="24">
        <f t="shared" si="14"/>
        <v>0</v>
      </c>
      <c r="AM55" s="24">
        <f t="shared" si="14"/>
        <v>0</v>
      </c>
      <c r="AN55" s="24">
        <f t="shared" si="14"/>
        <v>0</v>
      </c>
      <c r="AO55" s="24">
        <f t="shared" si="14"/>
        <v>0</v>
      </c>
      <c r="AP55" s="24">
        <f t="shared" si="14"/>
        <v>0</v>
      </c>
      <c r="AQ55" s="24">
        <f t="shared" si="14"/>
        <v>0</v>
      </c>
      <c r="AR55" s="24">
        <f t="shared" si="14"/>
        <v>0</v>
      </c>
      <c r="AS55" s="24">
        <f t="shared" si="14"/>
        <v>0</v>
      </c>
      <c r="AT55" s="24">
        <f t="shared" si="14"/>
        <v>0</v>
      </c>
      <c r="AU55" s="24">
        <f t="shared" si="14"/>
        <v>0</v>
      </c>
      <c r="AV55" s="24">
        <f t="shared" si="14"/>
        <v>0</v>
      </c>
      <c r="AW55" s="24">
        <f t="shared" si="14"/>
        <v>0</v>
      </c>
      <c r="AX55" s="24">
        <f t="shared" si="14"/>
        <v>0</v>
      </c>
      <c r="AY55" s="24">
        <f t="shared" si="14"/>
        <v>0</v>
      </c>
      <c r="AZ55" s="24">
        <f t="shared" si="14"/>
        <v>0</v>
      </c>
      <c r="BA55" s="24"/>
    </row>
    <row r="56" spans="1:53">
      <c r="A56" s="2" t="s">
        <v>42</v>
      </c>
      <c r="C56" s="24">
        <f>IF(B22&gt;B20,IF(C34&gt;$B$20,0,C54-C55),IF(C34&gt;$B$22,0,C54-C55))</f>
        <v>-3407.7014420170581</v>
      </c>
      <c r="D56" s="24">
        <f t="shared" ref="D56:AZ56" si="15">IF(D34&gt;$B$20,0,D54-D55)</f>
        <v>-3544.0094996977396</v>
      </c>
      <c r="E56" s="24">
        <f t="shared" si="15"/>
        <v>-3685.7698796856494</v>
      </c>
      <c r="F56" s="24">
        <f t="shared" si="15"/>
        <v>-3833.2006748730755</v>
      </c>
      <c r="G56" s="24">
        <f t="shared" si="15"/>
        <v>-3986.5287018679992</v>
      </c>
      <c r="H56" s="24">
        <f t="shared" si="15"/>
        <v>-4145.989849942719</v>
      </c>
      <c r="I56" s="24">
        <f t="shared" si="15"/>
        <v>-4311.8294439404272</v>
      </c>
      <c r="J56" s="24">
        <f t="shared" si="15"/>
        <v>-4484.3026216980443</v>
      </c>
      <c r="K56" s="24">
        <f t="shared" si="15"/>
        <v>-4663.6747265659669</v>
      </c>
      <c r="L56" s="24">
        <f t="shared" si="15"/>
        <v>-4850.2217156286051</v>
      </c>
      <c r="M56" s="24">
        <f t="shared" si="15"/>
        <v>-5044.2305842537498</v>
      </c>
      <c r="N56" s="24">
        <f t="shared" si="15"/>
        <v>-5245.999807623899</v>
      </c>
      <c r="O56" s="24">
        <f t="shared" si="15"/>
        <v>-5455.8397999288554</v>
      </c>
      <c r="P56" s="24">
        <f t="shared" si="15"/>
        <v>-5674.0733919260092</v>
      </c>
      <c r="Q56" s="24">
        <f t="shared" si="15"/>
        <v>-5901.0363276030494</v>
      </c>
      <c r="R56" s="24">
        <f t="shared" si="15"/>
        <v>3110.6236613098858</v>
      </c>
      <c r="S56" s="24">
        <f t="shared" si="15"/>
        <v>3235.0486077622813</v>
      </c>
      <c r="T56" s="24">
        <f t="shared" si="15"/>
        <v>3364.4505520727726</v>
      </c>
      <c r="U56" s="24">
        <f t="shared" si="15"/>
        <v>3499.0285741556831</v>
      </c>
      <c r="V56" s="24">
        <f t="shared" si="15"/>
        <v>3638.9897171219109</v>
      </c>
      <c r="W56" s="24">
        <f t="shared" si="15"/>
        <v>3784.5493058067868</v>
      </c>
      <c r="X56" s="24">
        <f t="shared" si="15"/>
        <v>3935.9312780390583</v>
      </c>
      <c r="Y56" s="24">
        <f t="shared" si="15"/>
        <v>4093.3685291606207</v>
      </c>
      <c r="Z56" s="24">
        <f t="shared" si="15"/>
        <v>4257.1032703270457</v>
      </c>
      <c r="AA56" s="24">
        <f t="shared" si="15"/>
        <v>4427.3874011401276</v>
      </c>
      <c r="AB56" s="24">
        <f t="shared" si="15"/>
        <v>0</v>
      </c>
      <c r="AC56" s="24">
        <f t="shared" si="15"/>
        <v>0</v>
      </c>
      <c r="AD56" s="24">
        <f t="shared" si="15"/>
        <v>0</v>
      </c>
      <c r="AE56" s="24">
        <f t="shared" si="15"/>
        <v>0</v>
      </c>
      <c r="AF56" s="24">
        <f t="shared" si="15"/>
        <v>0</v>
      </c>
      <c r="AG56" s="24">
        <f t="shared" si="15"/>
        <v>0</v>
      </c>
      <c r="AH56" s="24">
        <f t="shared" si="15"/>
        <v>0</v>
      </c>
      <c r="AI56" s="24">
        <f t="shared" si="15"/>
        <v>0</v>
      </c>
      <c r="AJ56" s="24">
        <f t="shared" si="15"/>
        <v>0</v>
      </c>
      <c r="AK56" s="24">
        <f t="shared" si="15"/>
        <v>0</v>
      </c>
      <c r="AL56" s="24">
        <f t="shared" si="15"/>
        <v>0</v>
      </c>
      <c r="AM56" s="24">
        <f t="shared" si="15"/>
        <v>0</v>
      </c>
      <c r="AN56" s="24">
        <f t="shared" si="15"/>
        <v>0</v>
      </c>
      <c r="AO56" s="24">
        <f t="shared" si="15"/>
        <v>0</v>
      </c>
      <c r="AP56" s="24">
        <f t="shared" si="15"/>
        <v>0</v>
      </c>
      <c r="AQ56" s="24">
        <f t="shared" si="15"/>
        <v>0</v>
      </c>
      <c r="AR56" s="24">
        <f t="shared" si="15"/>
        <v>0</v>
      </c>
      <c r="AS56" s="24">
        <f t="shared" si="15"/>
        <v>0</v>
      </c>
      <c r="AT56" s="24">
        <f t="shared" si="15"/>
        <v>0</v>
      </c>
      <c r="AU56" s="24">
        <f t="shared" si="15"/>
        <v>0</v>
      </c>
      <c r="AV56" s="24">
        <f t="shared" si="15"/>
        <v>0</v>
      </c>
      <c r="AW56" s="24">
        <f t="shared" si="15"/>
        <v>0</v>
      </c>
      <c r="AX56" s="24">
        <f t="shared" si="15"/>
        <v>0</v>
      </c>
      <c r="AY56" s="24">
        <f t="shared" si="15"/>
        <v>0</v>
      </c>
      <c r="AZ56" s="24">
        <f t="shared" si="15"/>
        <v>0</v>
      </c>
      <c r="BA56" s="24"/>
    </row>
    <row r="57" spans="1:53">
      <c r="A57" s="2" t="s">
        <v>43</v>
      </c>
      <c r="C57" s="25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6">
        <v>0</v>
      </c>
      <c r="J57" s="25">
        <v>0</v>
      </c>
      <c r="K57" s="25">
        <v>0</v>
      </c>
      <c r="L57" s="25">
        <v>0</v>
      </c>
      <c r="M57" s="16">
        <v>0</v>
      </c>
      <c r="N57" s="25">
        <v>0</v>
      </c>
      <c r="O57" s="25">
        <v>0</v>
      </c>
      <c r="P57" s="25">
        <v>0</v>
      </c>
      <c r="Q57" s="16">
        <v>0</v>
      </c>
      <c r="R57" s="25">
        <v>0</v>
      </c>
      <c r="S57" s="25">
        <v>0</v>
      </c>
      <c r="T57" s="25">
        <v>0</v>
      </c>
      <c r="U57" s="16">
        <v>0</v>
      </c>
      <c r="V57" s="25">
        <v>0</v>
      </c>
      <c r="W57" s="25">
        <v>0</v>
      </c>
      <c r="X57" s="25">
        <v>0</v>
      </c>
      <c r="Y57" s="16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16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16">
        <v>0</v>
      </c>
      <c r="AM57" s="25">
        <v>0</v>
      </c>
      <c r="AN57" s="25">
        <v>0</v>
      </c>
      <c r="AO57" s="25">
        <v>0</v>
      </c>
      <c r="AP57" s="16">
        <v>0</v>
      </c>
      <c r="AQ57" s="25">
        <v>0</v>
      </c>
      <c r="AR57" s="25">
        <v>0</v>
      </c>
      <c r="AS57" s="25">
        <v>0</v>
      </c>
      <c r="AT57" s="16">
        <v>0</v>
      </c>
      <c r="AU57" s="25">
        <v>0</v>
      </c>
      <c r="AV57" s="25">
        <v>0</v>
      </c>
      <c r="AW57" s="25">
        <v>0</v>
      </c>
      <c r="AX57" s="16">
        <v>0</v>
      </c>
      <c r="AY57" s="25">
        <v>0</v>
      </c>
      <c r="AZ57" s="25">
        <v>0</v>
      </c>
      <c r="BA57" s="25"/>
    </row>
    <row r="59" spans="1:53">
      <c r="A59" s="2" t="s">
        <v>44</v>
      </c>
      <c r="B59" s="16">
        <f>B18</f>
        <v>146000</v>
      </c>
      <c r="C59" s="16">
        <f>MAX(0,B59+C56)</f>
        <v>142592.29855798295</v>
      </c>
      <c r="D59" s="16">
        <f t="shared" ref="D59:AZ59" si="16">MAX(0,C59+D56)</f>
        <v>139048.28905828521</v>
      </c>
      <c r="E59" s="16">
        <f t="shared" si="16"/>
        <v>135362.51917859956</v>
      </c>
      <c r="F59" s="16">
        <f t="shared" si="16"/>
        <v>131529.31850372648</v>
      </c>
      <c r="G59" s="16">
        <f t="shared" si="16"/>
        <v>127542.78980185848</v>
      </c>
      <c r="H59" s="16">
        <f t="shared" si="16"/>
        <v>123396.79995191576</v>
      </c>
      <c r="I59" s="16">
        <f t="shared" si="16"/>
        <v>119084.97050797533</v>
      </c>
      <c r="J59" s="16">
        <f t="shared" si="16"/>
        <v>114600.66788627728</v>
      </c>
      <c r="K59" s="16">
        <f t="shared" si="16"/>
        <v>109936.99315971132</v>
      </c>
      <c r="L59" s="16">
        <f t="shared" si="16"/>
        <v>105086.77144408271</v>
      </c>
      <c r="M59" s="16">
        <f t="shared" si="16"/>
        <v>100042.54085982897</v>
      </c>
      <c r="N59" s="16">
        <f t="shared" si="16"/>
        <v>94796.541052205066</v>
      </c>
      <c r="O59" s="16">
        <f t="shared" si="16"/>
        <v>89340.701252276209</v>
      </c>
      <c r="P59" s="16">
        <f t="shared" si="16"/>
        <v>83666.6278603502</v>
      </c>
      <c r="Q59" s="16">
        <f t="shared" si="16"/>
        <v>77765.591532747145</v>
      </c>
      <c r="R59" s="16">
        <f t="shared" si="16"/>
        <v>80876.215194057033</v>
      </c>
      <c r="S59" s="16">
        <f t="shared" si="16"/>
        <v>84111.26380181931</v>
      </c>
      <c r="T59" s="16">
        <f t="shared" si="16"/>
        <v>87475.714353892079</v>
      </c>
      <c r="U59" s="16">
        <f t="shared" si="16"/>
        <v>90974.742928047766</v>
      </c>
      <c r="V59" s="16">
        <f t="shared" si="16"/>
        <v>94613.732645169672</v>
      </c>
      <c r="W59" s="16">
        <f t="shared" si="16"/>
        <v>98398.281950976452</v>
      </c>
      <c r="X59" s="16">
        <f t="shared" si="16"/>
        <v>102334.21322901551</v>
      </c>
      <c r="Y59" s="16">
        <f t="shared" si="16"/>
        <v>106427.58175817614</v>
      </c>
      <c r="Z59" s="16">
        <f t="shared" si="16"/>
        <v>110684.68502850318</v>
      </c>
      <c r="AA59" s="16">
        <f t="shared" si="16"/>
        <v>115112.0724296433</v>
      </c>
      <c r="AB59" s="16">
        <f t="shared" si="16"/>
        <v>115112.0724296433</v>
      </c>
      <c r="AC59" s="16">
        <f t="shared" si="16"/>
        <v>115112.0724296433</v>
      </c>
      <c r="AD59" s="16">
        <f t="shared" si="16"/>
        <v>115112.0724296433</v>
      </c>
      <c r="AE59" s="16">
        <f t="shared" si="16"/>
        <v>115112.0724296433</v>
      </c>
      <c r="AF59" s="16">
        <f t="shared" si="16"/>
        <v>115112.0724296433</v>
      </c>
      <c r="AG59" s="16">
        <f t="shared" si="16"/>
        <v>115112.0724296433</v>
      </c>
      <c r="AH59" s="16">
        <f t="shared" si="16"/>
        <v>115112.0724296433</v>
      </c>
      <c r="AI59" s="16">
        <f t="shared" si="16"/>
        <v>115112.0724296433</v>
      </c>
      <c r="AJ59" s="16">
        <f t="shared" si="16"/>
        <v>115112.0724296433</v>
      </c>
      <c r="AK59" s="16">
        <f t="shared" si="16"/>
        <v>115112.0724296433</v>
      </c>
      <c r="AL59" s="16">
        <f t="shared" si="16"/>
        <v>115112.0724296433</v>
      </c>
      <c r="AM59" s="16">
        <f t="shared" si="16"/>
        <v>115112.0724296433</v>
      </c>
      <c r="AN59" s="16">
        <f t="shared" si="16"/>
        <v>115112.0724296433</v>
      </c>
      <c r="AO59" s="16">
        <f t="shared" si="16"/>
        <v>115112.0724296433</v>
      </c>
      <c r="AP59" s="16">
        <f t="shared" si="16"/>
        <v>115112.0724296433</v>
      </c>
      <c r="AQ59" s="16">
        <f t="shared" si="16"/>
        <v>115112.0724296433</v>
      </c>
      <c r="AR59" s="16">
        <f t="shared" si="16"/>
        <v>115112.0724296433</v>
      </c>
      <c r="AS59" s="16">
        <f t="shared" si="16"/>
        <v>115112.0724296433</v>
      </c>
      <c r="AT59" s="16">
        <f t="shared" si="16"/>
        <v>115112.0724296433</v>
      </c>
      <c r="AU59" s="16">
        <f t="shared" si="16"/>
        <v>115112.0724296433</v>
      </c>
      <c r="AV59" s="16">
        <f t="shared" si="16"/>
        <v>115112.0724296433</v>
      </c>
      <c r="AW59" s="16">
        <f t="shared" si="16"/>
        <v>115112.0724296433</v>
      </c>
      <c r="AX59" s="16">
        <f t="shared" si="16"/>
        <v>115112.0724296433</v>
      </c>
      <c r="AY59" s="16">
        <f t="shared" si="16"/>
        <v>115112.0724296433</v>
      </c>
      <c r="AZ59" s="16">
        <f t="shared" si="16"/>
        <v>115112.0724296433</v>
      </c>
      <c r="BA59" s="16"/>
    </row>
    <row r="61" spans="1:53">
      <c r="A61" s="26" t="s">
        <v>45</v>
      </c>
      <c r="B61" s="27">
        <f>-C17</f>
        <v>-34000</v>
      </c>
      <c r="C61" s="27">
        <f>C52+C54</f>
        <v>-185.3937497093666</v>
      </c>
      <c r="D61" s="27">
        <f t="shared" ref="D61:H61" si="17">D52+D54</f>
        <v>145.87548105986389</v>
      </c>
      <c r="E61" s="27">
        <f t="shared" si="17"/>
        <v>487.08278875217366</v>
      </c>
      <c r="F61" s="27">
        <f t="shared" si="17"/>
        <v>838.52631567525168</v>
      </c>
      <c r="G61" s="27">
        <f t="shared" si="17"/>
        <v>1200.5131484060203</v>
      </c>
      <c r="H61" s="27">
        <f t="shared" si="17"/>
        <v>1573.359586118715</v>
      </c>
      <c r="I61" s="27">
        <f>I52+I54-I57</f>
        <v>1957.3914169627878</v>
      </c>
      <c r="J61" s="27">
        <f t="shared" ref="J61:L61" si="18">J52+J54</f>
        <v>2352.9442027321875</v>
      </c>
      <c r="K61" s="27">
        <f t="shared" si="18"/>
        <v>2760.3635720746643</v>
      </c>
      <c r="L61" s="27">
        <f t="shared" si="18"/>
        <v>3180.0055224974167</v>
      </c>
      <c r="M61" s="27">
        <f t="shared" ref="M61" si="19">M52+M54-M57</f>
        <v>3612.2367314328494</v>
      </c>
      <c r="N61" s="27">
        <f t="shared" ref="N61:P61" si="20">N52+N54</f>
        <v>4057.4348766363455</v>
      </c>
      <c r="O61" s="27">
        <f t="shared" si="20"/>
        <v>4515.9889661959478</v>
      </c>
      <c r="P61" s="27">
        <f t="shared" si="20"/>
        <v>4988.2996784423394</v>
      </c>
      <c r="Q61" s="27">
        <f t="shared" ref="Q61" si="21">Q52+Q54-Q57</f>
        <v>164674.77971205613</v>
      </c>
      <c r="R61" s="27">
        <f t="shared" ref="R61:T61" si="22">R52+R54</f>
        <v>0</v>
      </c>
      <c r="S61" s="27">
        <f t="shared" si="22"/>
        <v>0</v>
      </c>
      <c r="T61" s="27">
        <f t="shared" si="22"/>
        <v>0</v>
      </c>
      <c r="U61" s="27">
        <f t="shared" ref="U61" si="23">U52+U54-U57</f>
        <v>0</v>
      </c>
      <c r="V61" s="27">
        <f t="shared" ref="V61:X61" si="24">V52+V54</f>
        <v>0</v>
      </c>
      <c r="W61" s="27">
        <f t="shared" si="24"/>
        <v>0</v>
      </c>
      <c r="X61" s="27">
        <f t="shared" si="24"/>
        <v>0</v>
      </c>
      <c r="Y61" s="27">
        <f t="shared" ref="Y61" si="25">Y52+Y54-Y57</f>
        <v>0</v>
      </c>
      <c r="Z61" s="27">
        <f t="shared" ref="Z61:AD61" si="26">Z52+Z54</f>
        <v>0</v>
      </c>
      <c r="AA61" s="27">
        <f t="shared" si="26"/>
        <v>0</v>
      </c>
      <c r="AB61" s="27">
        <f t="shared" si="26"/>
        <v>0</v>
      </c>
      <c r="AC61" s="27">
        <f t="shared" si="26"/>
        <v>0</v>
      </c>
      <c r="AD61" s="27">
        <f t="shared" si="26"/>
        <v>0</v>
      </c>
      <c r="AE61" s="27">
        <f>AE52+AE54-AE57</f>
        <v>0</v>
      </c>
      <c r="AF61" s="27">
        <f t="shared" ref="AF61:AK61" si="27">AF52+AF54</f>
        <v>0</v>
      </c>
      <c r="AG61" s="27">
        <f t="shared" si="27"/>
        <v>0</v>
      </c>
      <c r="AH61" s="27">
        <f t="shared" si="27"/>
        <v>0</v>
      </c>
      <c r="AI61" s="27">
        <f t="shared" si="27"/>
        <v>0</v>
      </c>
      <c r="AJ61" s="27">
        <f t="shared" si="27"/>
        <v>0</v>
      </c>
      <c r="AK61" s="27">
        <f t="shared" si="27"/>
        <v>0</v>
      </c>
      <c r="AL61" s="27">
        <f>AL52+AL54-AL57</f>
        <v>0</v>
      </c>
      <c r="AM61" s="27">
        <f t="shared" ref="AM61:AO61" si="28">AM52+AM54</f>
        <v>0</v>
      </c>
      <c r="AN61" s="27">
        <f t="shared" si="28"/>
        <v>0</v>
      </c>
      <c r="AO61" s="27">
        <f t="shared" si="28"/>
        <v>0</v>
      </c>
      <c r="AP61" s="27">
        <f t="shared" ref="AP61" si="29">AP52+AP54-AP57</f>
        <v>0</v>
      </c>
      <c r="AQ61" s="27">
        <f t="shared" ref="AQ61:AS61" si="30">AQ52+AQ54</f>
        <v>0</v>
      </c>
      <c r="AR61" s="27">
        <f t="shared" si="30"/>
        <v>0</v>
      </c>
      <c r="AS61" s="27">
        <f t="shared" si="30"/>
        <v>0</v>
      </c>
      <c r="AT61" s="27">
        <f>AT52+AT54-AT57</f>
        <v>0</v>
      </c>
      <c r="AU61" s="27">
        <f t="shared" ref="AU61:AW61" si="31">AU52+AU54</f>
        <v>0</v>
      </c>
      <c r="AV61" s="27">
        <f t="shared" si="31"/>
        <v>0</v>
      </c>
      <c r="AW61" s="27">
        <f t="shared" si="31"/>
        <v>0</v>
      </c>
      <c r="AX61" s="27">
        <f t="shared" ref="AX61" si="32">AX52+AX54-AX57</f>
        <v>0</v>
      </c>
      <c r="AY61" s="27">
        <f t="shared" ref="AY61:AZ61" si="33">AY52+AY54</f>
        <v>0</v>
      </c>
      <c r="AZ61" s="27">
        <f t="shared" si="33"/>
        <v>0</v>
      </c>
      <c r="BA61" s="27"/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0"/>
  <sheetViews>
    <sheetView showGridLines="0" topLeftCell="A2" workbookViewId="0">
      <selection activeCell="I15" sqref="I15"/>
    </sheetView>
  </sheetViews>
  <sheetFormatPr baseColWidth="10" defaultRowHeight="16"/>
  <cols>
    <col min="1" max="1" width="26.83203125" style="13" customWidth="1"/>
    <col min="2" max="2" width="19.5" style="2" customWidth="1"/>
    <col min="3" max="3" width="21.83203125" style="2" bestFit="1" customWidth="1"/>
    <col min="4" max="7" width="19.5" style="2" customWidth="1"/>
    <col min="8" max="8" width="20.33203125" style="2" bestFit="1" customWidth="1"/>
    <col min="9" max="9" width="18.1640625" style="2" bestFit="1" customWidth="1"/>
    <col min="10" max="10" width="16.83203125" style="2" customWidth="1"/>
    <col min="11" max="11" width="14" style="2" bestFit="1" customWidth="1"/>
    <col min="12" max="16384" width="10.83203125" style="2"/>
  </cols>
  <sheetData>
    <row r="1" spans="1:24">
      <c r="B1" s="71" t="s">
        <v>46</v>
      </c>
      <c r="C1" s="71"/>
      <c r="D1" s="71"/>
      <c r="E1" s="71"/>
      <c r="F1" s="71"/>
      <c r="G1" s="71"/>
      <c r="H1" s="71"/>
    </row>
    <row r="2" spans="1:24"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52</v>
      </c>
      <c r="H2" s="3" t="s">
        <v>53</v>
      </c>
    </row>
    <row r="3" spans="1:24">
      <c r="B3" s="59" t="s">
        <v>94</v>
      </c>
      <c r="C3" s="59" t="s">
        <v>54</v>
      </c>
      <c r="D3" s="59" t="s">
        <v>95</v>
      </c>
      <c r="E3" s="59" t="s">
        <v>96</v>
      </c>
      <c r="F3" s="59" t="s">
        <v>97</v>
      </c>
      <c r="G3" s="59" t="s">
        <v>98</v>
      </c>
      <c r="H3" s="59" t="s">
        <v>99</v>
      </c>
      <c r="X3" s="1"/>
    </row>
    <row r="4" spans="1:24">
      <c r="A4" s="13" t="s">
        <v>55</v>
      </c>
      <c r="B4" s="60">
        <v>0</v>
      </c>
      <c r="C4" s="60">
        <v>1</v>
      </c>
      <c r="D4" s="60">
        <v>0</v>
      </c>
      <c r="E4" s="60">
        <v>1</v>
      </c>
      <c r="F4" s="60">
        <v>1</v>
      </c>
      <c r="G4" s="60">
        <v>1</v>
      </c>
      <c r="H4" s="60">
        <v>1</v>
      </c>
      <c r="X4" s="1"/>
    </row>
    <row r="5" spans="1:24">
      <c r="B5" s="13"/>
      <c r="C5" s="13"/>
      <c r="D5" s="13"/>
      <c r="E5" s="13"/>
      <c r="F5" s="13"/>
      <c r="G5" s="13"/>
      <c r="H5" s="13"/>
      <c r="I5" s="34" t="s">
        <v>56</v>
      </c>
      <c r="X5" s="1"/>
    </row>
    <row r="6" spans="1:24">
      <c r="A6" s="13" t="s">
        <v>57</v>
      </c>
      <c r="B6" s="59">
        <v>1391</v>
      </c>
      <c r="C6" s="59">
        <v>1364</v>
      </c>
      <c r="D6" s="59">
        <v>1208</v>
      </c>
      <c r="E6" s="59">
        <v>1308</v>
      </c>
      <c r="F6" s="59">
        <v>1428</v>
      </c>
      <c r="G6" s="59">
        <v>1354</v>
      </c>
      <c r="H6" s="59">
        <v>1373</v>
      </c>
      <c r="I6" s="35">
        <f>SUMPRODUCT($B6:$H6,$B$4:$H$4)/SUM($B$4:$H$4)</f>
        <v>1365.4</v>
      </c>
    </row>
    <row r="7" spans="1:24">
      <c r="A7" s="13" t="s">
        <v>58</v>
      </c>
      <c r="B7" s="59">
        <v>4</v>
      </c>
      <c r="C7" s="59">
        <v>3</v>
      </c>
      <c r="D7" s="59">
        <v>3</v>
      </c>
      <c r="E7" s="59">
        <v>3</v>
      </c>
      <c r="F7" s="59">
        <v>3</v>
      </c>
      <c r="G7" s="59">
        <v>3</v>
      </c>
      <c r="H7" s="59">
        <v>3</v>
      </c>
      <c r="I7" s="36">
        <f t="shared" ref="I7:I15" si="0">SUMPRODUCT($B7:$H7,$B$4:$H$4)/SUM($B$4:$H$4)</f>
        <v>3</v>
      </c>
    </row>
    <row r="8" spans="1:24">
      <c r="A8" s="13" t="s">
        <v>59</v>
      </c>
      <c r="B8" s="59">
        <v>2</v>
      </c>
      <c r="C8" s="59">
        <v>2</v>
      </c>
      <c r="D8" s="59">
        <v>2</v>
      </c>
      <c r="E8" s="59">
        <v>2</v>
      </c>
      <c r="F8" s="59">
        <v>2</v>
      </c>
      <c r="G8" s="59">
        <v>2</v>
      </c>
      <c r="H8" s="59">
        <v>2</v>
      </c>
      <c r="I8" s="36">
        <f t="shared" si="0"/>
        <v>2</v>
      </c>
    </row>
    <row r="9" spans="1:24">
      <c r="A9" s="13" t="s">
        <v>60</v>
      </c>
      <c r="B9" s="59">
        <v>7840</v>
      </c>
      <c r="C9" s="59">
        <v>7405</v>
      </c>
      <c r="D9" s="59">
        <v>6969</v>
      </c>
      <c r="E9" s="59">
        <v>6098</v>
      </c>
      <c r="F9" s="59">
        <v>6534</v>
      </c>
      <c r="G9" s="59">
        <v>6969</v>
      </c>
      <c r="H9" s="59">
        <v>4791</v>
      </c>
      <c r="I9" s="35">
        <f t="shared" si="0"/>
        <v>6359.4</v>
      </c>
    </row>
    <row r="10" spans="1:24">
      <c r="B10" s="13"/>
      <c r="C10" s="13"/>
      <c r="D10" s="13"/>
      <c r="E10" s="13"/>
      <c r="F10" s="13"/>
      <c r="G10" s="13"/>
      <c r="H10" s="13"/>
      <c r="I10" s="37"/>
    </row>
    <row r="11" spans="1:24">
      <c r="A11" s="13" t="s">
        <v>61</v>
      </c>
      <c r="B11" s="59">
        <v>1968</v>
      </c>
      <c r="C11" s="59">
        <v>1961</v>
      </c>
      <c r="D11" s="59">
        <v>1960</v>
      </c>
      <c r="E11" s="59">
        <v>1963</v>
      </c>
      <c r="F11" s="59">
        <v>1965</v>
      </c>
      <c r="G11" s="59">
        <v>1965</v>
      </c>
      <c r="H11" s="59">
        <v>1984</v>
      </c>
      <c r="I11" s="35">
        <f t="shared" si="0"/>
        <v>1967.6</v>
      </c>
    </row>
    <row r="12" spans="1:24">
      <c r="B12" s="13"/>
      <c r="C12" s="13"/>
      <c r="D12" s="13"/>
      <c r="E12" s="13"/>
      <c r="F12" s="13"/>
      <c r="G12" s="13"/>
      <c r="H12" s="13"/>
      <c r="I12" s="37"/>
    </row>
    <row r="13" spans="1:24">
      <c r="A13" s="13" t="s">
        <v>62</v>
      </c>
      <c r="B13" s="59">
        <v>3</v>
      </c>
      <c r="C13" s="59">
        <v>10</v>
      </c>
      <c r="D13" s="59">
        <v>5</v>
      </c>
      <c r="E13" s="59">
        <v>20</v>
      </c>
      <c r="F13" s="59">
        <v>24</v>
      </c>
      <c r="G13" s="59">
        <v>25</v>
      </c>
      <c r="H13" s="59">
        <v>23</v>
      </c>
      <c r="I13" s="35">
        <f t="shared" si="0"/>
        <v>20.399999999999999</v>
      </c>
    </row>
    <row r="14" spans="1:24">
      <c r="B14" s="13"/>
      <c r="C14" s="13"/>
      <c r="D14" s="13"/>
      <c r="E14" s="13"/>
      <c r="F14" s="13"/>
      <c r="G14" s="13"/>
      <c r="H14" s="13"/>
      <c r="I14" s="37"/>
    </row>
    <row r="15" spans="1:24">
      <c r="A15" s="13" t="s">
        <v>63</v>
      </c>
      <c r="B15" s="61">
        <v>165000</v>
      </c>
      <c r="C15" s="61">
        <v>147000</v>
      </c>
      <c r="D15" s="61">
        <v>179999</v>
      </c>
      <c r="E15" s="61">
        <v>149900</v>
      </c>
      <c r="F15" s="61">
        <v>139999</v>
      </c>
      <c r="G15" s="61">
        <v>139900</v>
      </c>
      <c r="H15" s="61">
        <v>169000</v>
      </c>
      <c r="I15" s="39">
        <f t="shared" si="0"/>
        <v>149159.79999999999</v>
      </c>
    </row>
    <row r="16" spans="1:24">
      <c r="A16" s="13" t="s">
        <v>64</v>
      </c>
      <c r="B16" s="40">
        <f>B15/B6</f>
        <v>118.61969805895039</v>
      </c>
      <c r="C16" s="40">
        <f>C15/C6</f>
        <v>107.77126099706744</v>
      </c>
      <c r="D16" s="40">
        <f>D15/D6</f>
        <v>149.00579470198676</v>
      </c>
      <c r="E16" s="40">
        <f>E15/E6</f>
        <v>114.60244648318043</v>
      </c>
      <c r="F16" s="40">
        <f>F15/F6</f>
        <v>98.03851540616246</v>
      </c>
      <c r="G16" s="40">
        <f t="shared" ref="G16:H16" si="1">G15/G6</f>
        <v>103.32348596750369</v>
      </c>
      <c r="H16" s="40">
        <f t="shared" si="1"/>
        <v>123.08812818645302</v>
      </c>
      <c r="I16" s="40">
        <f>SUMPRODUCT($B16:$H16,$B$4:$H$4)/SUM($B$4:$H$4)</f>
        <v>109.3647674080734</v>
      </c>
    </row>
    <row r="17" spans="1:9">
      <c r="B17" s="13"/>
      <c r="C17" s="13"/>
      <c r="D17" s="13"/>
      <c r="E17" s="13"/>
      <c r="F17" s="13"/>
      <c r="G17" s="13"/>
      <c r="H17" s="13"/>
      <c r="I17" s="37"/>
    </row>
    <row r="18" spans="1:9">
      <c r="A18" s="13" t="s">
        <v>65</v>
      </c>
      <c r="B18" s="62">
        <v>41091</v>
      </c>
      <c r="C18" s="62">
        <v>40452</v>
      </c>
      <c r="D18" s="62">
        <v>41334</v>
      </c>
      <c r="E18" s="62">
        <v>41091</v>
      </c>
      <c r="F18" s="62">
        <v>39326</v>
      </c>
      <c r="G18" s="62">
        <v>39142</v>
      </c>
      <c r="H18" s="62">
        <v>36161</v>
      </c>
    </row>
    <row r="19" spans="1:9">
      <c r="A19" s="13" t="s">
        <v>66</v>
      </c>
      <c r="B19" s="61">
        <v>87000</v>
      </c>
      <c r="C19" s="61">
        <v>78250</v>
      </c>
      <c r="D19" s="61">
        <v>40000</v>
      </c>
      <c r="E19" s="61">
        <v>67000</v>
      </c>
      <c r="F19" s="61">
        <v>89000</v>
      </c>
      <c r="G19" s="61">
        <v>115000</v>
      </c>
      <c r="H19" s="61">
        <v>107500</v>
      </c>
      <c r="I19" s="39">
        <f t="shared" ref="I19" si="2">AVERAGE(D19:H19)</f>
        <v>83700</v>
      </c>
    </row>
    <row r="20" spans="1:9">
      <c r="A20" s="13" t="s">
        <v>64</v>
      </c>
      <c r="B20" s="42">
        <f>B19/B6</f>
        <v>62.544931703810207</v>
      </c>
      <c r="C20" s="42">
        <f t="shared" ref="C20:H20" si="3">C19/C6</f>
        <v>57.368035190615835</v>
      </c>
      <c r="D20" s="42">
        <f t="shared" si="3"/>
        <v>33.11258278145695</v>
      </c>
      <c r="E20" s="42">
        <f t="shared" si="3"/>
        <v>51.223241590214066</v>
      </c>
      <c r="F20" s="42">
        <f t="shared" si="3"/>
        <v>62.324929971988794</v>
      </c>
      <c r="G20" s="42">
        <f t="shared" si="3"/>
        <v>84.933530280649933</v>
      </c>
      <c r="H20" s="42">
        <f t="shared" si="3"/>
        <v>78.295702840495267</v>
      </c>
      <c r="I20" s="39">
        <f>SUMPRODUCT($B20:$H20,$B$4:$H$4)/SUM($B$4:$H$4)</f>
        <v>66.829087974792785</v>
      </c>
    </row>
    <row r="21" spans="1:9">
      <c r="B21" s="13"/>
      <c r="C21" s="13"/>
      <c r="D21" s="13"/>
      <c r="E21" s="13"/>
      <c r="F21" s="13"/>
      <c r="G21" s="13"/>
      <c r="H21" s="13"/>
      <c r="I21" s="37"/>
    </row>
    <row r="22" spans="1:9">
      <c r="A22" s="13" t="s">
        <v>67</v>
      </c>
      <c r="B22" s="63"/>
      <c r="C22" s="63"/>
      <c r="D22" s="63"/>
      <c r="E22" s="63"/>
      <c r="F22" s="63"/>
      <c r="G22" s="63"/>
      <c r="H22" s="63"/>
      <c r="I22" s="44"/>
    </row>
    <row r="23" spans="1:9">
      <c r="A23" s="13" t="s">
        <v>68</v>
      </c>
      <c r="B23" s="59">
        <v>3.5</v>
      </c>
      <c r="C23" s="59">
        <v>3</v>
      </c>
      <c r="D23" s="59">
        <v>1.5</v>
      </c>
      <c r="E23" s="59">
        <v>1.5</v>
      </c>
      <c r="F23" s="64" t="s">
        <v>100</v>
      </c>
      <c r="G23" s="64">
        <v>2</v>
      </c>
      <c r="H23" s="64">
        <v>3.5</v>
      </c>
      <c r="I23" s="36">
        <f t="shared" ref="I23:I24" si="4">SUMPRODUCT($B23:$H23,$B$4:$H$4)/SUM($B$4:$H$4)</f>
        <v>2</v>
      </c>
    </row>
    <row r="24" spans="1:9">
      <c r="A24" s="13" t="s">
        <v>69</v>
      </c>
      <c r="B24" s="59">
        <v>4</v>
      </c>
      <c r="C24" s="59">
        <v>2.5</v>
      </c>
      <c r="D24" s="59">
        <v>1.5</v>
      </c>
      <c r="E24" s="59">
        <v>1.5</v>
      </c>
      <c r="F24" s="64" t="s">
        <v>100</v>
      </c>
      <c r="G24" s="64">
        <v>2.5</v>
      </c>
      <c r="H24" s="64">
        <v>3.5</v>
      </c>
      <c r="I24" s="36">
        <f t="shared" si="4"/>
        <v>2</v>
      </c>
    </row>
    <row r="25" spans="1:9">
      <c r="B25" s="13"/>
      <c r="C25" s="13"/>
      <c r="D25" s="13"/>
      <c r="E25" s="13"/>
      <c r="F25" s="13"/>
      <c r="G25" s="13"/>
      <c r="H25" s="13"/>
      <c r="I25" s="46"/>
    </row>
    <row r="26" spans="1:9">
      <c r="A26" s="13" t="s">
        <v>70</v>
      </c>
      <c r="B26" s="59">
        <v>2</v>
      </c>
      <c r="C26" s="59">
        <v>3.5</v>
      </c>
      <c r="D26" s="59">
        <v>4.5</v>
      </c>
      <c r="E26" s="59">
        <v>4</v>
      </c>
      <c r="F26" s="64" t="s">
        <v>100</v>
      </c>
      <c r="G26" s="64">
        <v>2.5</v>
      </c>
      <c r="H26" s="64">
        <v>1.5</v>
      </c>
      <c r="I26" s="36">
        <f t="shared" ref="I26" si="5">SUMPRODUCT($B26:$H26,$B$4:$H$4)/SUM($B$4:$H$4)</f>
        <v>2.2999999999999998</v>
      </c>
    </row>
    <row r="30" spans="1:9">
      <c r="B30" s="72" t="s">
        <v>71</v>
      </c>
      <c r="C30" s="72"/>
      <c r="D30" s="72"/>
      <c r="E30" s="72"/>
      <c r="F30" s="72"/>
      <c r="G30" s="72"/>
      <c r="H30" s="72"/>
    </row>
    <row r="31" spans="1:9">
      <c r="B31" s="3" t="s">
        <v>101</v>
      </c>
      <c r="C31" s="3" t="s">
        <v>102</v>
      </c>
      <c r="D31" s="3" t="s">
        <v>103</v>
      </c>
      <c r="E31" s="3" t="s">
        <v>104</v>
      </c>
      <c r="F31" s="3" t="s">
        <v>105</v>
      </c>
      <c r="G31" s="3" t="s">
        <v>106</v>
      </c>
      <c r="H31" s="3" t="s">
        <v>107</v>
      </c>
    </row>
    <row r="32" spans="1:9">
      <c r="B32" s="59" t="s">
        <v>108</v>
      </c>
      <c r="C32" s="59" t="s">
        <v>109</v>
      </c>
      <c r="D32" s="59" t="s">
        <v>110</v>
      </c>
      <c r="E32" s="59" t="s">
        <v>111</v>
      </c>
      <c r="F32" s="59" t="s">
        <v>112</v>
      </c>
      <c r="G32" s="59" t="s">
        <v>113</v>
      </c>
      <c r="H32" s="59" t="s">
        <v>114</v>
      </c>
      <c r="I32" s="13"/>
    </row>
    <row r="33" spans="1:11">
      <c r="A33" s="13" t="s">
        <v>55</v>
      </c>
      <c r="B33" s="60">
        <v>1</v>
      </c>
      <c r="C33" s="60">
        <v>0</v>
      </c>
      <c r="D33" s="60">
        <v>1</v>
      </c>
      <c r="E33" s="60">
        <v>1</v>
      </c>
      <c r="F33" s="60">
        <v>1</v>
      </c>
      <c r="G33" s="60">
        <v>1</v>
      </c>
      <c r="H33" s="60">
        <v>1</v>
      </c>
    </row>
    <row r="34" spans="1:11">
      <c r="B34" s="13"/>
      <c r="C34" s="13"/>
      <c r="D34" s="13"/>
      <c r="E34" s="13"/>
      <c r="F34" s="13"/>
      <c r="G34" s="13"/>
      <c r="H34" s="13"/>
      <c r="I34" s="47" t="s">
        <v>80</v>
      </c>
      <c r="J34" s="34" t="s">
        <v>56</v>
      </c>
    </row>
    <row r="35" spans="1:11">
      <c r="A35" s="13" t="s">
        <v>57</v>
      </c>
      <c r="B35" s="59">
        <v>1216</v>
      </c>
      <c r="C35" s="59">
        <v>1453</v>
      </c>
      <c r="D35" s="59">
        <v>1218</v>
      </c>
      <c r="E35" s="59">
        <v>1208</v>
      </c>
      <c r="F35" s="59">
        <v>1365</v>
      </c>
      <c r="G35" s="59">
        <v>1274</v>
      </c>
      <c r="H35" s="59">
        <v>1274</v>
      </c>
      <c r="I35" s="35">
        <f>SUMPRODUCT($B35:$H35,$B$33:$H$33)/SUM($B$33:$H$33)</f>
        <v>1259.1666666666667</v>
      </c>
      <c r="J35" s="35">
        <f>I6</f>
        <v>1365.4</v>
      </c>
      <c r="K35" s="48">
        <f>J35/I35</f>
        <v>1.0843679682329583</v>
      </c>
    </row>
    <row r="36" spans="1:11">
      <c r="A36" s="13" t="s">
        <v>58</v>
      </c>
      <c r="B36" s="59">
        <v>3</v>
      </c>
      <c r="C36" s="59">
        <v>3</v>
      </c>
      <c r="D36" s="59">
        <v>3</v>
      </c>
      <c r="E36" s="59">
        <v>3</v>
      </c>
      <c r="F36" s="59">
        <v>3</v>
      </c>
      <c r="G36" s="59">
        <v>3</v>
      </c>
      <c r="H36" s="59">
        <v>3</v>
      </c>
      <c r="I36" s="36">
        <f t="shared" ref="I36:I40" si="6">SUMPRODUCT($B36:$H36,$B$33:$H$33)/SUM($B$33:$H$33)</f>
        <v>3</v>
      </c>
      <c r="J36" s="36">
        <f>I7</f>
        <v>3</v>
      </c>
      <c r="K36" s="48">
        <f t="shared" ref="K36:K38" si="7">J36/I36</f>
        <v>1</v>
      </c>
    </row>
    <row r="37" spans="1:11">
      <c r="A37" s="13" t="s">
        <v>59</v>
      </c>
      <c r="B37" s="59">
        <v>2</v>
      </c>
      <c r="C37" s="59">
        <v>1.75</v>
      </c>
      <c r="D37" s="59">
        <v>2</v>
      </c>
      <c r="E37" s="59">
        <v>1.75</v>
      </c>
      <c r="F37" s="59">
        <v>2</v>
      </c>
      <c r="G37" s="59">
        <v>2</v>
      </c>
      <c r="H37" s="59">
        <v>1.75</v>
      </c>
      <c r="I37" s="36">
        <f t="shared" si="6"/>
        <v>1.9166666666666667</v>
      </c>
      <c r="J37" s="36">
        <f>I8</f>
        <v>2</v>
      </c>
      <c r="K37" s="48">
        <f t="shared" si="7"/>
        <v>1.0434782608695652</v>
      </c>
    </row>
    <row r="38" spans="1:11">
      <c r="A38" s="13" t="s">
        <v>60</v>
      </c>
      <c r="B38" s="59">
        <v>6098</v>
      </c>
      <c r="C38" s="59">
        <v>6098</v>
      </c>
      <c r="D38" s="59">
        <v>5662</v>
      </c>
      <c r="E38" s="59">
        <v>6534</v>
      </c>
      <c r="F38" s="59">
        <v>9148</v>
      </c>
      <c r="G38" s="59">
        <v>6098</v>
      </c>
      <c r="H38" s="59">
        <v>6098</v>
      </c>
      <c r="I38" s="35">
        <f t="shared" si="6"/>
        <v>6606.333333333333</v>
      </c>
      <c r="J38" s="35">
        <f>I9</f>
        <v>6359.4</v>
      </c>
      <c r="K38" s="48">
        <f t="shared" si="7"/>
        <v>0.96262172662596501</v>
      </c>
    </row>
    <row r="39" spans="1:11">
      <c r="B39" s="13"/>
      <c r="C39" s="13"/>
      <c r="D39" s="13"/>
      <c r="E39" s="13"/>
      <c r="F39" s="13"/>
      <c r="G39" s="13"/>
      <c r="H39" s="13"/>
      <c r="I39" s="37"/>
      <c r="J39" s="37"/>
    </row>
    <row r="40" spans="1:11">
      <c r="A40" s="13" t="s">
        <v>61</v>
      </c>
      <c r="B40" s="59">
        <v>1961</v>
      </c>
      <c r="C40" s="59">
        <v>1963</v>
      </c>
      <c r="D40" s="59">
        <v>1955</v>
      </c>
      <c r="E40" s="59">
        <v>1961</v>
      </c>
      <c r="F40" s="59">
        <v>1976</v>
      </c>
      <c r="G40" s="59">
        <v>1961</v>
      </c>
      <c r="H40" s="59">
        <v>1961</v>
      </c>
      <c r="I40" s="35">
        <f t="shared" si="6"/>
        <v>1962.5</v>
      </c>
      <c r="J40" s="35">
        <f>I11</f>
        <v>1967.6</v>
      </c>
      <c r="K40" s="48"/>
    </row>
    <row r="41" spans="1:11">
      <c r="B41" s="13"/>
      <c r="C41" s="13"/>
      <c r="D41" s="13"/>
      <c r="E41" s="13"/>
      <c r="F41" s="13"/>
      <c r="G41" s="13"/>
      <c r="H41" s="13"/>
      <c r="I41" s="37"/>
      <c r="J41" s="37"/>
    </row>
    <row r="42" spans="1:11">
      <c r="A42" s="13" t="s">
        <v>65</v>
      </c>
      <c r="B42" s="62">
        <v>42430</v>
      </c>
      <c r="C42" s="62">
        <v>42430</v>
      </c>
      <c r="D42" s="62">
        <v>42430</v>
      </c>
      <c r="E42" s="62">
        <v>42430</v>
      </c>
      <c r="F42" s="62">
        <v>42401</v>
      </c>
      <c r="G42" s="62">
        <v>42401</v>
      </c>
      <c r="H42" s="62">
        <v>42401</v>
      </c>
      <c r="I42" s="49"/>
      <c r="J42" s="49"/>
    </row>
    <row r="43" spans="1:11">
      <c r="A43" s="13" t="s">
        <v>66</v>
      </c>
      <c r="B43" s="61">
        <v>137000</v>
      </c>
      <c r="C43" s="61">
        <v>120000</v>
      </c>
      <c r="D43" s="61">
        <v>145000</v>
      </c>
      <c r="E43" s="61">
        <v>129000</v>
      </c>
      <c r="F43" s="61">
        <v>160000</v>
      </c>
      <c r="G43" s="61">
        <v>110000</v>
      </c>
      <c r="H43" s="61">
        <v>140000</v>
      </c>
      <c r="I43" s="39">
        <f t="shared" ref="I43:I44" si="8">SUMPRODUCT($B43:$H43,$B$33:$H$33)/SUM($B$33:$H$33)</f>
        <v>136833.33333333334</v>
      </c>
      <c r="J43" s="39">
        <f>I15</f>
        <v>149159.79999999999</v>
      </c>
      <c r="K43" s="48">
        <f t="shared" ref="K43:K44" si="9">J43/I43</f>
        <v>1.0900838002436053</v>
      </c>
    </row>
    <row r="44" spans="1:11">
      <c r="A44" s="13" t="s">
        <v>64</v>
      </c>
      <c r="B44" s="42">
        <f>B43/B35</f>
        <v>112.66447368421052</v>
      </c>
      <c r="C44" s="42">
        <f>C43/C35</f>
        <v>82.58774948382657</v>
      </c>
      <c r="D44" s="42">
        <f>D43/D35</f>
        <v>119.04761904761905</v>
      </c>
      <c r="E44" s="42">
        <f>E43/E35</f>
        <v>106.78807947019868</v>
      </c>
      <c r="F44" s="42">
        <f>F43/F35</f>
        <v>117.21611721611721</v>
      </c>
      <c r="G44" s="42">
        <f t="shared" ref="G44:H44" si="10">G43/G35</f>
        <v>86.342229199372056</v>
      </c>
      <c r="H44" s="42">
        <f t="shared" si="10"/>
        <v>109.89010989010988</v>
      </c>
      <c r="I44" s="40">
        <f t="shared" si="8"/>
        <v>108.65810475127124</v>
      </c>
      <c r="J44" s="40">
        <f>I16</f>
        <v>109.3647674080734</v>
      </c>
      <c r="K44" s="48">
        <f t="shared" si="9"/>
        <v>1.0065035430023355</v>
      </c>
    </row>
    <row r="45" spans="1:11">
      <c r="B45" s="65"/>
      <c r="C45" s="65"/>
      <c r="D45" s="65"/>
      <c r="E45" s="65"/>
      <c r="F45" s="65"/>
      <c r="G45" s="65"/>
      <c r="H45" s="65"/>
      <c r="I45" s="44"/>
      <c r="J45" s="44"/>
    </row>
    <row r="46" spans="1:11">
      <c r="A46" s="13" t="s">
        <v>67</v>
      </c>
      <c r="B46" s="63"/>
      <c r="C46" s="63"/>
      <c r="D46" s="63"/>
      <c r="E46" s="63"/>
      <c r="F46" s="63"/>
      <c r="G46" s="63"/>
      <c r="H46" s="63"/>
      <c r="I46" s="44"/>
      <c r="J46" s="44"/>
    </row>
    <row r="47" spans="1:11">
      <c r="A47" s="13" t="s">
        <v>68</v>
      </c>
      <c r="B47" s="59">
        <v>2</v>
      </c>
      <c r="C47" s="59">
        <v>3</v>
      </c>
      <c r="D47" s="59">
        <v>4</v>
      </c>
      <c r="E47" s="59">
        <v>3</v>
      </c>
      <c r="F47" s="64">
        <v>5</v>
      </c>
      <c r="G47" s="64" t="s">
        <v>100</v>
      </c>
      <c r="H47" s="64">
        <v>3.5</v>
      </c>
      <c r="I47" s="36">
        <f t="shared" ref="I47:I50" si="11">SUMPRODUCT($B47:$H47,$B$33:$H$33)/SUM($B$33:$H$33)</f>
        <v>2.9166666666666665</v>
      </c>
      <c r="J47" s="51">
        <f>I23</f>
        <v>2</v>
      </c>
      <c r="K47" s="52" t="s">
        <v>81</v>
      </c>
    </row>
    <row r="48" spans="1:11">
      <c r="A48" s="13" t="s">
        <v>69</v>
      </c>
      <c r="B48" s="59">
        <v>4.5</v>
      </c>
      <c r="C48" s="59">
        <v>3</v>
      </c>
      <c r="D48" s="59">
        <v>5</v>
      </c>
      <c r="E48" s="59">
        <v>5</v>
      </c>
      <c r="F48" s="64">
        <v>3</v>
      </c>
      <c r="G48" s="64" t="s">
        <v>100</v>
      </c>
      <c r="H48" s="64">
        <v>4</v>
      </c>
      <c r="I48" s="36">
        <f t="shared" si="11"/>
        <v>3.5833333333333335</v>
      </c>
      <c r="J48" s="51">
        <f>I24</f>
        <v>2</v>
      </c>
      <c r="K48" s="52" t="s">
        <v>82</v>
      </c>
    </row>
    <row r="49" spans="1:11">
      <c r="B49" s="13"/>
      <c r="C49" s="13"/>
      <c r="D49" s="13"/>
      <c r="E49" s="13"/>
      <c r="F49" s="13"/>
      <c r="G49" s="13"/>
      <c r="H49" s="13"/>
      <c r="I49" s="46"/>
      <c r="J49" s="46"/>
      <c r="K49" s="53"/>
    </row>
    <row r="50" spans="1:11">
      <c r="A50" s="13" t="s">
        <v>70</v>
      </c>
      <c r="B50" s="59">
        <v>2</v>
      </c>
      <c r="C50" s="59">
        <v>5</v>
      </c>
      <c r="D50" s="59">
        <v>1</v>
      </c>
      <c r="E50" s="59">
        <v>1.5</v>
      </c>
      <c r="F50" s="64">
        <v>2</v>
      </c>
      <c r="G50" s="64" t="s">
        <v>100</v>
      </c>
      <c r="H50" s="64">
        <v>1.5</v>
      </c>
      <c r="I50" s="36">
        <f t="shared" si="11"/>
        <v>1.3333333333333333</v>
      </c>
      <c r="J50" s="51">
        <f>I26</f>
        <v>2.2999999999999998</v>
      </c>
      <c r="K50" s="52" t="s">
        <v>83</v>
      </c>
    </row>
    <row r="51" spans="1:11">
      <c r="C51" s="2" t="s">
        <v>115</v>
      </c>
    </row>
    <row r="54" spans="1:11">
      <c r="B54" s="73" t="s">
        <v>84</v>
      </c>
      <c r="C54" s="73"/>
      <c r="D54" s="73"/>
      <c r="E54" s="73"/>
      <c r="F54" s="73"/>
      <c r="G54" s="73"/>
      <c r="H54" s="73"/>
    </row>
    <row r="55" spans="1:11">
      <c r="B55" s="3" t="s">
        <v>101</v>
      </c>
      <c r="C55" s="3" t="s">
        <v>102</v>
      </c>
      <c r="D55" s="3" t="s">
        <v>103</v>
      </c>
      <c r="E55" s="3" t="s">
        <v>104</v>
      </c>
      <c r="F55" s="3" t="s">
        <v>105</v>
      </c>
      <c r="G55" s="3" t="s">
        <v>106</v>
      </c>
      <c r="H55" s="3" t="s">
        <v>107</v>
      </c>
    </row>
    <row r="56" spans="1:11">
      <c r="B56" s="59" t="s">
        <v>116</v>
      </c>
      <c r="C56" s="59" t="s">
        <v>117</v>
      </c>
      <c r="D56" s="59" t="s">
        <v>118</v>
      </c>
      <c r="E56" s="59" t="s">
        <v>119</v>
      </c>
      <c r="F56" s="59" t="s">
        <v>120</v>
      </c>
      <c r="G56" s="59" t="s">
        <v>121</v>
      </c>
      <c r="H56" s="59" t="s">
        <v>122</v>
      </c>
      <c r="I56" s="13"/>
    </row>
    <row r="57" spans="1:11">
      <c r="A57" s="13" t="s">
        <v>55</v>
      </c>
      <c r="B57" s="60">
        <v>1</v>
      </c>
      <c r="C57" s="60">
        <v>1</v>
      </c>
      <c r="D57" s="60">
        <v>1</v>
      </c>
      <c r="E57" s="60">
        <v>1</v>
      </c>
      <c r="F57" s="60">
        <v>1</v>
      </c>
      <c r="G57" s="60">
        <v>1</v>
      </c>
      <c r="H57" s="60">
        <v>1</v>
      </c>
    </row>
    <row r="58" spans="1:11">
      <c r="B58" s="13"/>
      <c r="C58" s="13"/>
      <c r="D58" s="13"/>
      <c r="E58" s="13"/>
      <c r="F58" s="13"/>
      <c r="G58" s="13"/>
      <c r="H58" s="13"/>
      <c r="I58" s="54" t="s">
        <v>92</v>
      </c>
      <c r="J58" s="34" t="s">
        <v>56</v>
      </c>
    </row>
    <row r="59" spans="1:11">
      <c r="A59" s="13" t="s">
        <v>57</v>
      </c>
      <c r="B59" s="59">
        <v>1214</v>
      </c>
      <c r="C59" s="59">
        <v>1314</v>
      </c>
      <c r="D59" s="59">
        <v>1423</v>
      </c>
      <c r="E59" s="59">
        <v>1345</v>
      </c>
      <c r="F59" s="59">
        <v>1374</v>
      </c>
      <c r="G59" s="59">
        <v>1389</v>
      </c>
      <c r="H59" s="59">
        <v>1461</v>
      </c>
      <c r="I59" s="35">
        <f>SUMPRODUCT($B59:$H59,$B$57:$H$57)/SUM($B$57:$H$57)</f>
        <v>1360</v>
      </c>
      <c r="J59" s="35">
        <f>J35</f>
        <v>1365.4</v>
      </c>
    </row>
    <row r="60" spans="1:11">
      <c r="A60" s="13" t="s">
        <v>58</v>
      </c>
      <c r="B60" s="59">
        <v>3</v>
      </c>
      <c r="C60" s="59">
        <v>3</v>
      </c>
      <c r="D60" s="59">
        <v>3</v>
      </c>
      <c r="E60" s="59">
        <v>3</v>
      </c>
      <c r="F60" s="59">
        <v>3</v>
      </c>
      <c r="G60" s="59">
        <v>3</v>
      </c>
      <c r="H60" s="59">
        <v>3</v>
      </c>
      <c r="I60" s="36">
        <f t="shared" ref="I60:I62" si="12">SUMPRODUCT($B60:$H60,$B$57:$H$57)/SUM($B$57:$H$57)</f>
        <v>3</v>
      </c>
      <c r="J60" s="36">
        <f>J36</f>
        <v>3</v>
      </c>
    </row>
    <row r="61" spans="1:11">
      <c r="A61" s="13" t="s">
        <v>59</v>
      </c>
      <c r="B61" s="59">
        <v>2</v>
      </c>
      <c r="C61" s="59">
        <v>2</v>
      </c>
      <c r="D61" s="59">
        <v>2</v>
      </c>
      <c r="E61" s="59">
        <v>2.5</v>
      </c>
      <c r="F61" s="59">
        <v>2</v>
      </c>
      <c r="G61" s="59">
        <v>2</v>
      </c>
      <c r="H61" s="59">
        <v>2</v>
      </c>
      <c r="I61" s="36">
        <f t="shared" si="12"/>
        <v>2.0714285714285716</v>
      </c>
      <c r="J61" s="36">
        <f>J37</f>
        <v>2</v>
      </c>
    </row>
    <row r="62" spans="1:11">
      <c r="A62" s="13" t="s">
        <v>60</v>
      </c>
      <c r="B62" s="59">
        <v>5662</v>
      </c>
      <c r="C62" s="59">
        <v>7752</v>
      </c>
      <c r="D62" s="59">
        <v>3920</v>
      </c>
      <c r="E62" s="59">
        <v>2613</v>
      </c>
      <c r="F62" s="59">
        <v>3920</v>
      </c>
      <c r="G62" s="59">
        <v>5227</v>
      </c>
      <c r="H62" s="59">
        <v>4791</v>
      </c>
      <c r="I62" s="35">
        <f t="shared" si="12"/>
        <v>4840.7142857142853</v>
      </c>
      <c r="J62" s="35">
        <f>J38</f>
        <v>6359.4</v>
      </c>
    </row>
    <row r="63" spans="1:11">
      <c r="B63" s="13"/>
      <c r="C63" s="13"/>
      <c r="D63" s="13"/>
      <c r="E63" s="13"/>
      <c r="F63" s="13"/>
      <c r="G63" s="13"/>
      <c r="H63" s="13"/>
      <c r="I63" s="37"/>
      <c r="J63" s="37"/>
    </row>
    <row r="64" spans="1:11">
      <c r="A64" s="13" t="s">
        <v>93</v>
      </c>
      <c r="B64" s="66">
        <v>1150</v>
      </c>
      <c r="C64" s="66">
        <v>1000</v>
      </c>
      <c r="D64" s="66">
        <v>1200</v>
      </c>
      <c r="E64" s="66">
        <v>1100</v>
      </c>
      <c r="F64" s="66">
        <v>1099</v>
      </c>
      <c r="G64" s="66">
        <v>1200</v>
      </c>
      <c r="H64" s="66">
        <v>1285</v>
      </c>
      <c r="I64" s="39">
        <f>SUMPRODUCT($B64:$H64,$B$57:$H$57)/SUM($B$57:$H$57)</f>
        <v>1147.7142857142858</v>
      </c>
      <c r="J64" s="37"/>
    </row>
    <row r="65" spans="1:10">
      <c r="B65" s="65"/>
      <c r="C65" s="65"/>
      <c r="D65" s="65"/>
      <c r="E65" s="65"/>
      <c r="F65" s="65"/>
      <c r="G65" s="65"/>
      <c r="H65" s="65"/>
      <c r="I65" s="56"/>
      <c r="J65" s="37"/>
    </row>
    <row r="66" spans="1:10">
      <c r="A66" s="13" t="s">
        <v>67</v>
      </c>
      <c r="B66" s="63"/>
      <c r="C66" s="63"/>
      <c r="D66" s="63"/>
      <c r="E66" s="63"/>
      <c r="F66" s="63"/>
      <c r="G66" s="63"/>
      <c r="H66" s="63"/>
      <c r="I66" s="56"/>
      <c r="J66" s="56"/>
    </row>
    <row r="67" spans="1:10">
      <c r="A67" s="13" t="s">
        <v>68</v>
      </c>
      <c r="B67" s="59">
        <v>3</v>
      </c>
      <c r="C67" s="59">
        <v>1.5</v>
      </c>
      <c r="D67" s="59">
        <v>4</v>
      </c>
      <c r="E67" s="59">
        <v>3</v>
      </c>
      <c r="F67" s="64">
        <v>3.5</v>
      </c>
      <c r="G67" s="64">
        <v>2</v>
      </c>
      <c r="H67" s="64">
        <v>3</v>
      </c>
      <c r="I67" s="36">
        <f>SUMPRODUCT($B67:$H67,$B$57:$H$57)/SUM($B$57:$H$57)</f>
        <v>2.8571428571428572</v>
      </c>
      <c r="J67" s="36">
        <f>J47</f>
        <v>2</v>
      </c>
    </row>
    <row r="68" spans="1:10">
      <c r="A68" s="13" t="s">
        <v>69</v>
      </c>
      <c r="B68" s="59">
        <v>3</v>
      </c>
      <c r="C68" s="59">
        <v>2.5</v>
      </c>
      <c r="D68" s="59">
        <v>4</v>
      </c>
      <c r="E68" s="59">
        <v>4</v>
      </c>
      <c r="F68" s="64">
        <v>4.5</v>
      </c>
      <c r="G68" s="64">
        <v>4</v>
      </c>
      <c r="H68" s="64">
        <v>4</v>
      </c>
      <c r="I68" s="36">
        <f>SUMPRODUCT($B68:$H68,$B$57:$H$57)/SUM($B$57:$H$57)</f>
        <v>3.7142857142857144</v>
      </c>
      <c r="J68" s="36">
        <f>J48</f>
        <v>2</v>
      </c>
    </row>
    <row r="69" spans="1:10">
      <c r="B69" s="13"/>
      <c r="C69" s="13"/>
      <c r="D69" s="13"/>
      <c r="E69" s="13"/>
      <c r="F69" s="13"/>
      <c r="G69" s="13"/>
      <c r="H69" s="13"/>
      <c r="I69" s="46"/>
      <c r="J69" s="46"/>
    </row>
    <row r="70" spans="1:10">
      <c r="A70" s="13" t="s">
        <v>70</v>
      </c>
      <c r="B70" s="59">
        <v>1.5</v>
      </c>
      <c r="C70" s="59">
        <v>2.5</v>
      </c>
      <c r="D70" s="59">
        <v>1</v>
      </c>
      <c r="E70" s="59">
        <v>1</v>
      </c>
      <c r="F70" s="64">
        <v>1</v>
      </c>
      <c r="G70" s="64">
        <v>1.5</v>
      </c>
      <c r="H70" s="64">
        <v>1</v>
      </c>
      <c r="I70" s="36">
        <f>SUMPRODUCT($B70:$H70,$B$57:$H$57)/SUM($B$57:$H$57)</f>
        <v>1.3571428571428572</v>
      </c>
      <c r="J70" s="36">
        <f>J50</f>
        <v>2.2999999999999998</v>
      </c>
    </row>
  </sheetData>
  <mergeCells count="3">
    <mergeCell ref="B1:H1"/>
    <mergeCell ref="B30:H30"/>
    <mergeCell ref="B54:H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Research</vt:lpstr>
      <vt:lpstr>BOE Model</vt:lpstr>
      <vt:lpstr>Las Vegas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2016-05-17T15:19:56Z</dcterms:created>
  <dcterms:modified xsi:type="dcterms:W3CDTF">2020-04-26T21:18:44Z</dcterms:modified>
</cp:coreProperties>
</file>