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CLVHacker/Dropbox/_LinkedIn Learning/How to Analyze a Wholesale Deal/Files/"/>
    </mc:Choice>
  </mc:AlternateContent>
  <xr:revisionPtr revIDLastSave="0" documentId="13_ncr:1_{41134830-3AFD-9E46-8756-AD7F8D5F5D83}" xr6:coauthVersionLast="36" xr6:coauthVersionMax="36" xr10:uidLastSave="{00000000-0000-0000-0000-000000000000}"/>
  <bookViews>
    <workbookView xWindow="35860" yWindow="1040" windowWidth="33600" windowHeight="20540" tabRatio="558" xr2:uid="{00000000-000D-0000-FFFF-FFFF00000000}"/>
  </bookViews>
  <sheets>
    <sheet name="Rehab Estimator" sheetId="3" r:id="rId1"/>
    <sheet name="ARV Calc" sheetId="1" r:id="rId2"/>
    <sheet name="MAO Calc" sheetId="2" r:id="rId3"/>
    <sheet name="Flip Investor - 70% Rule" sheetId="4" r:id="rId4"/>
    <sheet name="Flip Investor -Fixed Costs" sheetId="6" r:id="rId5"/>
    <sheet name="Buy &amp; Hold Investor Economics" sheetId="5" r:id="rId6"/>
  </sheets>
  <definedNames>
    <definedName name="_xlnm.Print_Area" localSheetId="5">'Buy &amp; Hold Investor Economics'!$B$2:$K$64</definedName>
    <definedName name="_xlnm.Print_Area" localSheetId="3">'Flip Investor - 70% Rule'!$A$2:$K$35</definedName>
    <definedName name="_xlnm.Print_Area" localSheetId="4">'Flip Investor -Fixed Costs'!$A$2:$K$35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7" i="5" l="1"/>
  <c r="E47" i="5"/>
  <c r="F47" i="5"/>
  <c r="G47" i="5" s="1"/>
  <c r="H47" i="5" s="1"/>
  <c r="I47" i="5" s="1"/>
  <c r="J47" i="5" s="1"/>
  <c r="D41" i="5"/>
  <c r="D43" i="5"/>
  <c r="J50" i="5"/>
  <c r="B1" i="2"/>
  <c r="I34" i="1"/>
  <c r="I35" i="1" s="1"/>
  <c r="L37" i="1" s="1"/>
  <c r="I29" i="1"/>
  <c r="H35" i="1"/>
  <c r="G35" i="1"/>
  <c r="F35" i="1"/>
  <c r="E35" i="1"/>
  <c r="D35" i="1"/>
  <c r="C35" i="1"/>
  <c r="H16" i="1"/>
  <c r="G16" i="1"/>
  <c r="F16" i="1"/>
  <c r="E16" i="1"/>
  <c r="F16" i="6" s="1"/>
  <c r="D16" i="1"/>
  <c r="C16" i="1"/>
  <c r="B16" i="1"/>
  <c r="I16" i="1" s="1"/>
  <c r="L17" i="1" s="1"/>
  <c r="B35" i="1"/>
  <c r="E6" i="5"/>
  <c r="F6" i="5"/>
  <c r="G6" i="5"/>
  <c r="H6" i="5"/>
  <c r="I6" i="5"/>
  <c r="J6" i="5"/>
  <c r="D6" i="5"/>
  <c r="K6" i="5" s="1"/>
  <c r="E11" i="5"/>
  <c r="E12" i="5" s="1"/>
  <c r="F11" i="5"/>
  <c r="F12" i="5" s="1"/>
  <c r="G11" i="5"/>
  <c r="G12" i="5" s="1"/>
  <c r="H11" i="5"/>
  <c r="H12" i="5" s="1"/>
  <c r="I11" i="5"/>
  <c r="I12" i="5" s="1"/>
  <c r="J11" i="5"/>
  <c r="J12" i="5" s="1"/>
  <c r="D11" i="5"/>
  <c r="K11" i="5" s="1"/>
  <c r="I15" i="1"/>
  <c r="E65" i="3"/>
  <c r="O23" i="3"/>
  <c r="O24" i="3"/>
  <c r="O28" i="3"/>
  <c r="F8" i="2" s="1"/>
  <c r="B12" i="6"/>
  <c r="B8" i="6"/>
  <c r="B9" i="6"/>
  <c r="C8" i="5" s="1"/>
  <c r="B10" i="6"/>
  <c r="B7" i="6"/>
  <c r="B5" i="6"/>
  <c r="C4" i="5" s="1"/>
  <c r="C7" i="5"/>
  <c r="C6" i="5"/>
  <c r="D15" i="5" s="1"/>
  <c r="C15" i="6"/>
  <c r="J15" i="6" s="1"/>
  <c r="D15" i="6"/>
  <c r="E15" i="6"/>
  <c r="F15" i="6"/>
  <c r="G15" i="6"/>
  <c r="H15" i="6"/>
  <c r="I15" i="6"/>
  <c r="J23" i="6"/>
  <c r="J21" i="6"/>
  <c r="J23" i="4"/>
  <c r="J32" i="4"/>
  <c r="J21" i="4"/>
  <c r="C15" i="4"/>
  <c r="D15" i="4"/>
  <c r="E15" i="4"/>
  <c r="F15" i="4"/>
  <c r="G15" i="4"/>
  <c r="H15" i="4"/>
  <c r="J15" i="4" s="1"/>
  <c r="I15" i="4"/>
  <c r="J20" i="4"/>
  <c r="J22" i="4"/>
  <c r="J24" i="4"/>
  <c r="J25" i="4"/>
  <c r="J26" i="4"/>
  <c r="J27" i="4"/>
  <c r="J34" i="4" s="1"/>
  <c r="J28" i="4"/>
  <c r="J29" i="4"/>
  <c r="J30" i="4"/>
  <c r="J31" i="4"/>
  <c r="J33" i="4"/>
  <c r="I19" i="1"/>
  <c r="Q21" i="2"/>
  <c r="J20" i="6"/>
  <c r="J22" i="6"/>
  <c r="J24" i="6"/>
  <c r="J25" i="6"/>
  <c r="J26" i="6"/>
  <c r="J27" i="6"/>
  <c r="J28" i="6"/>
  <c r="J29" i="6"/>
  <c r="J30" i="6"/>
  <c r="J31" i="6"/>
  <c r="J33" i="6"/>
  <c r="D16" i="6"/>
  <c r="E16" i="6"/>
  <c r="G16" i="6"/>
  <c r="H16" i="6"/>
  <c r="I16" i="6"/>
  <c r="I14" i="6"/>
  <c r="H14" i="6"/>
  <c r="G14" i="6"/>
  <c r="F14" i="6"/>
  <c r="E14" i="6"/>
  <c r="D14" i="6"/>
  <c r="C14" i="6"/>
  <c r="C12" i="6"/>
  <c r="J12" i="6" s="1"/>
  <c r="D12" i="6"/>
  <c r="E12" i="6"/>
  <c r="F12" i="6"/>
  <c r="G12" i="6"/>
  <c r="H12" i="6"/>
  <c r="I12" i="6"/>
  <c r="C10" i="6"/>
  <c r="J10" i="6" s="1"/>
  <c r="D10" i="6"/>
  <c r="E10" i="6"/>
  <c r="F10" i="6"/>
  <c r="G10" i="6"/>
  <c r="H10" i="6"/>
  <c r="I10" i="6"/>
  <c r="C9" i="6"/>
  <c r="J9" i="6" s="1"/>
  <c r="D9" i="6"/>
  <c r="E9" i="6"/>
  <c r="F9" i="6"/>
  <c r="G9" i="6"/>
  <c r="H9" i="6"/>
  <c r="I9" i="6"/>
  <c r="C8" i="6"/>
  <c r="J8" i="6" s="1"/>
  <c r="D8" i="6"/>
  <c r="E8" i="6"/>
  <c r="F8" i="6"/>
  <c r="G8" i="6"/>
  <c r="H8" i="6"/>
  <c r="I8" i="6"/>
  <c r="C7" i="6"/>
  <c r="J7" i="6" s="1"/>
  <c r="D7" i="6"/>
  <c r="E7" i="6"/>
  <c r="F7" i="6"/>
  <c r="G7" i="6"/>
  <c r="H7" i="6"/>
  <c r="I7" i="6"/>
  <c r="I5" i="6"/>
  <c r="H5" i="6"/>
  <c r="G5" i="6"/>
  <c r="F5" i="6"/>
  <c r="E5" i="6"/>
  <c r="D5" i="6"/>
  <c r="C5" i="6"/>
  <c r="I9" i="1"/>
  <c r="D7" i="5"/>
  <c r="E7" i="5"/>
  <c r="F7" i="5"/>
  <c r="G7" i="5"/>
  <c r="H7" i="5"/>
  <c r="I7" i="5"/>
  <c r="K7" i="5" s="1"/>
  <c r="J7" i="5"/>
  <c r="D8" i="5"/>
  <c r="E8" i="5"/>
  <c r="F8" i="5"/>
  <c r="G8" i="5"/>
  <c r="H8" i="5"/>
  <c r="I8" i="5"/>
  <c r="K8" i="5" s="1"/>
  <c r="J8" i="5"/>
  <c r="D9" i="5"/>
  <c r="E9" i="5"/>
  <c r="F9" i="5"/>
  <c r="G9" i="5"/>
  <c r="H9" i="5"/>
  <c r="I9" i="5"/>
  <c r="K9" i="5" s="1"/>
  <c r="J9" i="5"/>
  <c r="E4" i="5"/>
  <c r="F4" i="5"/>
  <c r="G4" i="5"/>
  <c r="H4" i="5"/>
  <c r="I4" i="5"/>
  <c r="J4" i="5"/>
  <c r="D4" i="5"/>
  <c r="D6" i="2"/>
  <c r="D45" i="5"/>
  <c r="E45" i="5"/>
  <c r="F45" i="5"/>
  <c r="G45" i="5"/>
  <c r="H45" i="5"/>
  <c r="I45" i="5" s="1"/>
  <c r="J45" i="5" s="1"/>
  <c r="D46" i="5"/>
  <c r="E46" i="5" s="1"/>
  <c r="F46" i="5" s="1"/>
  <c r="G46" i="5" s="1"/>
  <c r="H46" i="5" s="1"/>
  <c r="I46" i="5" s="1"/>
  <c r="J46" i="5" s="1"/>
  <c r="J51" i="5"/>
  <c r="D5" i="4"/>
  <c r="E5" i="4"/>
  <c r="F5" i="4"/>
  <c r="G5" i="4"/>
  <c r="H5" i="4"/>
  <c r="I5" i="4"/>
  <c r="D7" i="4"/>
  <c r="E7" i="4"/>
  <c r="F7" i="4"/>
  <c r="G7" i="4"/>
  <c r="H7" i="4"/>
  <c r="I7" i="4"/>
  <c r="D8" i="4"/>
  <c r="E8" i="4"/>
  <c r="F8" i="4"/>
  <c r="G8" i="4"/>
  <c r="H8" i="4"/>
  <c r="I8" i="4"/>
  <c r="D9" i="4"/>
  <c r="J9" i="4" s="1"/>
  <c r="E9" i="4"/>
  <c r="F9" i="4"/>
  <c r="G9" i="4"/>
  <c r="H9" i="4"/>
  <c r="I9" i="4"/>
  <c r="D10" i="4"/>
  <c r="E10" i="4"/>
  <c r="F10" i="4"/>
  <c r="G10" i="4"/>
  <c r="H10" i="4"/>
  <c r="I10" i="4"/>
  <c r="D12" i="4"/>
  <c r="E12" i="4"/>
  <c r="F12" i="4"/>
  <c r="G12" i="4"/>
  <c r="H12" i="4"/>
  <c r="I12" i="4"/>
  <c r="D14" i="4"/>
  <c r="E14" i="4"/>
  <c r="F14" i="4"/>
  <c r="G14" i="4"/>
  <c r="H14" i="4"/>
  <c r="I14" i="4"/>
  <c r="D16" i="4"/>
  <c r="E16" i="4"/>
  <c r="F16" i="4"/>
  <c r="G16" i="4"/>
  <c r="H16" i="4"/>
  <c r="I16" i="4"/>
  <c r="C16" i="4"/>
  <c r="C14" i="4"/>
  <c r="C12" i="4"/>
  <c r="J12" i="4" s="1"/>
  <c r="C8" i="4"/>
  <c r="C9" i="4"/>
  <c r="C10" i="4"/>
  <c r="J10" i="4" s="1"/>
  <c r="C7" i="4"/>
  <c r="J7" i="4" s="1"/>
  <c r="C5" i="4"/>
  <c r="J16" i="4"/>
  <c r="J8" i="4"/>
  <c r="O22" i="3"/>
  <c r="J32" i="1"/>
  <c r="I32" i="1"/>
  <c r="J31" i="1"/>
  <c r="I31" i="1"/>
  <c r="J30" i="1"/>
  <c r="I30" i="1"/>
  <c r="J29" i="1"/>
  <c r="I20" i="1"/>
  <c r="I18" i="1"/>
  <c r="I12" i="1"/>
  <c r="I10" i="1"/>
  <c r="I8" i="1"/>
  <c r="I7" i="1"/>
  <c r="D21" i="4" l="1"/>
  <c r="F4" i="2"/>
  <c r="E8" i="2"/>
  <c r="M10" i="2"/>
  <c r="L10" i="2" s="1"/>
  <c r="K12" i="5"/>
  <c r="C16" i="6"/>
  <c r="J16" i="6" s="1"/>
  <c r="C30" i="5"/>
  <c r="C51" i="5" s="1"/>
  <c r="D12" i="5"/>
  <c r="J32" i="6"/>
  <c r="J34" i="6" s="1"/>
  <c r="G22" i="6" s="1"/>
  <c r="E41" i="5"/>
  <c r="M4" i="2" l="1"/>
  <c r="L4" i="2" s="1"/>
  <c r="L12" i="2" s="1"/>
  <c r="E4" i="2"/>
  <c r="E6" i="2" s="1"/>
  <c r="E10" i="2" s="1"/>
  <c r="G21" i="4"/>
  <c r="G23" i="4" s="1"/>
  <c r="D22" i="4" s="1"/>
  <c r="D23" i="4" s="1"/>
  <c r="D25" i="4" s="1"/>
  <c r="E21" i="4"/>
  <c r="D36" i="5"/>
  <c r="D21" i="6"/>
  <c r="E43" i="5"/>
  <c r="F41" i="5"/>
  <c r="E21" i="6" l="1"/>
  <c r="D23" i="6"/>
  <c r="D25" i="6" s="1"/>
  <c r="E25" i="2"/>
  <c r="E14" i="2"/>
  <c r="E18" i="2" s="1"/>
  <c r="G41" i="5"/>
  <c r="F43" i="5"/>
  <c r="G21" i="6"/>
  <c r="G23" i="6" s="1"/>
  <c r="D22" i="6" s="1"/>
  <c r="L16" i="2"/>
  <c r="L20" i="2" s="1"/>
  <c r="E27" i="2" l="1"/>
  <c r="C22" i="5"/>
  <c r="G43" i="5"/>
  <c r="H41" i="5"/>
  <c r="I41" i="5" l="1"/>
  <c r="H43" i="5"/>
  <c r="C23" i="5"/>
  <c r="C17" i="5"/>
  <c r="D44" i="5" s="1"/>
  <c r="C26" i="5"/>
  <c r="D25" i="5"/>
  <c r="C63" i="5" s="1"/>
  <c r="C53" i="5"/>
  <c r="C61" i="5" l="1"/>
  <c r="D56" i="5"/>
  <c r="E44" i="5"/>
  <c r="D49" i="5"/>
  <c r="D53" i="5" s="1"/>
  <c r="I43" i="5"/>
  <c r="J41" i="5"/>
  <c r="J43" i="5" l="1"/>
  <c r="D63" i="5"/>
  <c r="D54" i="5"/>
  <c r="D57" i="5"/>
  <c r="E56" i="5"/>
  <c r="D58" i="5"/>
  <c r="D61" i="5" s="1"/>
  <c r="F44" i="5"/>
  <c r="E49" i="5"/>
  <c r="E53" i="5" s="1"/>
  <c r="E57" i="5" l="1"/>
  <c r="E63" i="5"/>
  <c r="E64" i="5" s="1"/>
  <c r="E54" i="5"/>
  <c r="E58" i="5"/>
  <c r="E61" i="5" s="1"/>
  <c r="F56" i="5"/>
  <c r="D64" i="5"/>
  <c r="G44" i="5"/>
  <c r="F49" i="5"/>
  <c r="F53" i="5" s="1"/>
  <c r="F57" i="5" l="1"/>
  <c r="F58" i="5" s="1"/>
  <c r="F61" i="5" s="1"/>
  <c r="F63" i="5"/>
  <c r="F54" i="5"/>
  <c r="H44" i="5"/>
  <c r="G49" i="5"/>
  <c r="G53" i="5" s="1"/>
  <c r="G56" i="5"/>
  <c r="G57" i="5" l="1"/>
  <c r="G58" i="5" s="1"/>
  <c r="G61" i="5" s="1"/>
  <c r="F64" i="5"/>
  <c r="I44" i="5"/>
  <c r="H49" i="5"/>
  <c r="H53" i="5" s="1"/>
  <c r="H56" i="5"/>
  <c r="G63" i="5"/>
  <c r="G64" i="5" s="1"/>
  <c r="G54" i="5"/>
  <c r="H57" i="5" l="1"/>
  <c r="H63" i="5"/>
  <c r="H54" i="5"/>
  <c r="J44" i="5"/>
  <c r="J49" i="5" s="1"/>
  <c r="J53" i="5" s="1"/>
  <c r="I49" i="5"/>
  <c r="I53" i="5" s="1"/>
  <c r="H58" i="5"/>
  <c r="H61" i="5" s="1"/>
  <c r="I56" i="5"/>
  <c r="I57" i="5" l="1"/>
  <c r="I19" i="5"/>
  <c r="I54" i="5"/>
  <c r="I63" i="5"/>
  <c r="I64" i="5" s="1"/>
  <c r="I18" i="5"/>
  <c r="I17" i="5"/>
  <c r="H64" i="5"/>
  <c r="J56" i="5"/>
  <c r="I58" i="5"/>
  <c r="I61" i="5" s="1"/>
  <c r="J57" i="5" l="1"/>
  <c r="J58" i="5" s="1"/>
  <c r="J18" i="5"/>
  <c r="J59" i="5" l="1"/>
  <c r="J63" i="5" s="1"/>
  <c r="J61" i="5"/>
  <c r="J17" i="5" l="1"/>
  <c r="J19" i="5"/>
</calcChain>
</file>

<file path=xl/sharedStrings.xml><?xml version="1.0" encoding="utf-8"?>
<sst xmlns="http://schemas.openxmlformats.org/spreadsheetml/2006/main" count="364" uniqueCount="232">
  <si>
    <t>Include? (1 = Yes, 0 = No)</t>
  </si>
  <si>
    <t>Avg of Listed</t>
  </si>
  <si>
    <t>Square Footage</t>
  </si>
  <si>
    <t># of rooms</t>
  </si>
  <si>
    <t>baths</t>
  </si>
  <si>
    <t>lot size</t>
  </si>
  <si>
    <t>Year built</t>
  </si>
  <si>
    <t>$/sf</t>
  </si>
  <si>
    <t>Last sold</t>
  </si>
  <si>
    <t>last sold price</t>
  </si>
  <si>
    <t>Fixtures</t>
  </si>
  <si>
    <t xml:space="preserve">RECENTLY SOLD </t>
  </si>
  <si>
    <t>Avg of Recently Sold</t>
  </si>
  <si>
    <t>RENTAL COMPS</t>
  </si>
  <si>
    <t>Avg. Rental Comps</t>
  </si>
  <si>
    <t>Asking Rent</t>
  </si>
  <si>
    <t>Category</t>
  </si>
  <si>
    <t>Repair</t>
  </si>
  <si>
    <t>Cost</t>
  </si>
  <si>
    <t>Room</t>
  </si>
  <si>
    <t>Walls &amp; Ceilings</t>
  </si>
  <si>
    <t>Floor</t>
  </si>
  <si>
    <t>Door</t>
  </si>
  <si>
    <t>Windows</t>
  </si>
  <si>
    <t>Carpentry</t>
  </si>
  <si>
    <t>Other</t>
  </si>
  <si>
    <t>Sitework</t>
  </si>
  <si>
    <t>Dumpster</t>
  </si>
  <si>
    <t>Bed 1</t>
  </si>
  <si>
    <t>Demolition</t>
  </si>
  <si>
    <t>Bed 2</t>
  </si>
  <si>
    <t>Bed 3</t>
  </si>
  <si>
    <t>Foundation/Footings</t>
  </si>
  <si>
    <t>Water seepage</t>
  </si>
  <si>
    <t>Bed 4</t>
  </si>
  <si>
    <t>Support Beams</t>
  </si>
  <si>
    <t>Bed 5</t>
  </si>
  <si>
    <t>Living 1</t>
  </si>
  <si>
    <t>Garage</t>
  </si>
  <si>
    <t>Door &amp; Opener</t>
  </si>
  <si>
    <t>Living 2</t>
  </si>
  <si>
    <t>Walls &amp; Ceiling</t>
  </si>
  <si>
    <t>Living 3</t>
  </si>
  <si>
    <t>Dining 1</t>
  </si>
  <si>
    <t>Rafters</t>
  </si>
  <si>
    <t>Dining 2</t>
  </si>
  <si>
    <t>Insulation</t>
  </si>
  <si>
    <t>Den 1</t>
  </si>
  <si>
    <t>Lighting</t>
  </si>
  <si>
    <t>Den 2</t>
  </si>
  <si>
    <t>Laundry</t>
  </si>
  <si>
    <t>Exterior</t>
  </si>
  <si>
    <t>Trash Removal</t>
  </si>
  <si>
    <t>Utility</t>
  </si>
  <si>
    <t>Pest Removal</t>
  </si>
  <si>
    <t>Hallways</t>
  </si>
  <si>
    <t>Windows &amp; Screens</t>
  </si>
  <si>
    <t>Basement</t>
  </si>
  <si>
    <t>Patios/Decks/Porches</t>
  </si>
  <si>
    <t>Other 1</t>
  </si>
  <si>
    <t>Doors &amp; Locks</t>
  </si>
  <si>
    <t>Other 2</t>
  </si>
  <si>
    <t>Electricals</t>
  </si>
  <si>
    <t>Steps/Walkways</t>
  </si>
  <si>
    <t>Paint</t>
  </si>
  <si>
    <t>Rooms Total</t>
  </si>
  <si>
    <t>Shutters</t>
  </si>
  <si>
    <t>Other SubTotal</t>
  </si>
  <si>
    <t>Masonry</t>
  </si>
  <si>
    <t>TOTAL</t>
  </si>
  <si>
    <t>Siding</t>
  </si>
  <si>
    <t>Storm Gutters</t>
  </si>
  <si>
    <t>Roof</t>
  </si>
  <si>
    <t>Driveway</t>
  </si>
  <si>
    <t>Lawn &amp; Sprinklers</t>
  </si>
  <si>
    <t>Fence</t>
  </si>
  <si>
    <t>Trees &amp; Shrubs</t>
  </si>
  <si>
    <t>Rock</t>
  </si>
  <si>
    <t>Walls</t>
  </si>
  <si>
    <t>Drainage</t>
  </si>
  <si>
    <t>Kitchen</t>
  </si>
  <si>
    <t>Refrigerator</t>
  </si>
  <si>
    <t>Stove</t>
  </si>
  <si>
    <t>Hood &amp; Fan</t>
  </si>
  <si>
    <t>Dishwasher</t>
  </si>
  <si>
    <t>Garbage Disposal</t>
  </si>
  <si>
    <t>Electrical Work</t>
  </si>
  <si>
    <t>Lighting Fixtures</t>
  </si>
  <si>
    <t>Sinks &amp; Faucets</t>
  </si>
  <si>
    <t>Microwave</t>
  </si>
  <si>
    <t>Cabinets</t>
  </si>
  <si>
    <t>Counter Tops</t>
  </si>
  <si>
    <t>Flooring</t>
  </si>
  <si>
    <t>MISC</t>
  </si>
  <si>
    <t>Water Heater</t>
  </si>
  <si>
    <t>Water Softener</t>
  </si>
  <si>
    <t>Electrical Panel</t>
  </si>
  <si>
    <t>Smoke/Carbon Monoxide</t>
  </si>
  <si>
    <t>Doorbell</t>
  </si>
  <si>
    <t>Blinds &amp; Window Treatments</t>
  </si>
  <si>
    <t>Security System</t>
  </si>
  <si>
    <t>Intercom</t>
  </si>
  <si>
    <t>Heating, Ventilation, and AC</t>
  </si>
  <si>
    <t>Well</t>
  </si>
  <si>
    <t>Septic</t>
  </si>
  <si>
    <t>Piping</t>
  </si>
  <si>
    <t>Subtotal</t>
  </si>
  <si>
    <t>Comp 1</t>
  </si>
  <si>
    <t>Comp 2</t>
  </si>
  <si>
    <t>Comp 3</t>
  </si>
  <si>
    <t>Comp 4</t>
  </si>
  <si>
    <t>Comp 5</t>
  </si>
  <si>
    <t>Comp 6</t>
  </si>
  <si>
    <t>Comp 7</t>
  </si>
  <si>
    <t>Estimated ARV</t>
  </si>
  <si>
    <t>ARV</t>
  </si>
  <si>
    <t>Estimated Rehab Costs</t>
  </si>
  <si>
    <t>Estimated Sale Price to Flip Buyer</t>
  </si>
  <si>
    <t>Desired Wholesaling Fee</t>
  </si>
  <si>
    <t>Estimated MAO</t>
  </si>
  <si>
    <t>Additional Contingency</t>
  </si>
  <si>
    <t>Final MAO</t>
  </si>
  <si>
    <t>Rehab Padding</t>
  </si>
  <si>
    <t>FINAL REHAB ESTIMATE</t>
  </si>
  <si>
    <t>Estimated Rehab</t>
  </si>
  <si>
    <t>RECENTLY SOLD COMPS</t>
  </si>
  <si>
    <t>Repair Item</t>
  </si>
  <si>
    <t>Total</t>
  </si>
  <si>
    <t>Foundation</t>
  </si>
  <si>
    <t>Bedrooms</t>
  </si>
  <si>
    <t>Livingrooms</t>
  </si>
  <si>
    <t>Diningrooms</t>
  </si>
  <si>
    <t>Den</t>
  </si>
  <si>
    <t xml:space="preserve">Utility </t>
  </si>
  <si>
    <t>Wholesale Price</t>
  </si>
  <si>
    <t>Estimated Gross Profit Margin</t>
  </si>
  <si>
    <t>Total Costs</t>
  </si>
  <si>
    <t>Total Project Costs</t>
  </si>
  <si>
    <t>Target Property</t>
  </si>
  <si>
    <t>Avg of Recently Sold Comps</t>
  </si>
  <si>
    <t>Assumptions</t>
  </si>
  <si>
    <t>Unlevered</t>
  </si>
  <si>
    <t>Levered</t>
  </si>
  <si>
    <t>Monthly Rents</t>
  </si>
  <si>
    <t>IRR</t>
  </si>
  <si>
    <t>Vacancy</t>
  </si>
  <si>
    <t>Weeks</t>
  </si>
  <si>
    <t>Property Taxes</t>
  </si>
  <si>
    <t>Cash Multiple</t>
  </si>
  <si>
    <t>Repair &amp; Maintenance</t>
  </si>
  <si>
    <t>Monthly</t>
  </si>
  <si>
    <t>Insurance</t>
  </si>
  <si>
    <t>Year</t>
  </si>
  <si>
    <t>Utilities/monthly</t>
  </si>
  <si>
    <t>Purchase Price</t>
  </si>
  <si>
    <t>Closing Costs</t>
  </si>
  <si>
    <t xml:space="preserve">Total Equity Investment </t>
  </si>
  <si>
    <t>Loan Amount</t>
  </si>
  <si>
    <t>Interest Rate</t>
  </si>
  <si>
    <t>Loan Term</t>
  </si>
  <si>
    <t>Years</t>
  </si>
  <si>
    <t>Renovations @ Purchase</t>
  </si>
  <si>
    <t>Renovations @ Exit</t>
  </si>
  <si>
    <t>Rental Growth Rate</t>
  </si>
  <si>
    <t>Annual Rate</t>
  </si>
  <si>
    <t>Costs of Sale</t>
  </si>
  <si>
    <t>YEAR</t>
  </si>
  <si>
    <t>Investment</t>
  </si>
  <si>
    <t>Gross Rental Revenue</t>
  </si>
  <si>
    <t>Utilities</t>
  </si>
  <si>
    <t>Net Rents</t>
  </si>
  <si>
    <t>Renovations</t>
  </si>
  <si>
    <t>Unlevered Cashflow</t>
  </si>
  <si>
    <t>Loan Payments</t>
  </si>
  <si>
    <t>Towards Interest</t>
  </si>
  <si>
    <t>Towards Principal</t>
  </si>
  <si>
    <t>Loan Payoff</t>
  </si>
  <si>
    <t>Loan Balance</t>
  </si>
  <si>
    <t>Levered Cashflow</t>
  </si>
  <si>
    <t>Contingency</t>
  </si>
  <si>
    <t>ROI</t>
  </si>
  <si>
    <t>Estimated Sale Price to Buy &amp; Hold Investor</t>
  </si>
  <si>
    <t>Sales Price @ Exit</t>
  </si>
  <si>
    <t>Average Annual Yield</t>
  </si>
  <si>
    <t>Net Sale Proceeds</t>
  </si>
  <si>
    <t>Estimated Wholesaling Fee</t>
  </si>
  <si>
    <t>Additional Premium to Buy &amp; Hold Investor</t>
  </si>
  <si>
    <t>CURRENT RENTAL COMPS</t>
  </si>
  <si>
    <t>Rehab Costs</t>
  </si>
  <si>
    <t xml:space="preserve">Assumed Appreciation Per Year (versus ARV Comps) </t>
  </si>
  <si>
    <t>FIXED COSTS CALCULATION</t>
  </si>
  <si>
    <t>Min Investor Profit</t>
  </si>
  <si>
    <t>Fixed Costs (holding costs, utilities</t>
  </si>
  <si>
    <t>Inspection Costs</t>
  </si>
  <si>
    <t>Lender Fees</t>
  </si>
  <si>
    <t>Commissions</t>
  </si>
  <si>
    <t>Selling Closing Costs</t>
  </si>
  <si>
    <t>Home Warranty</t>
  </si>
  <si>
    <t>Termite Letter</t>
  </si>
  <si>
    <t>MLS Fees</t>
  </si>
  <si>
    <t>Debt Service</t>
  </si>
  <si>
    <t>SAMPLE FIXED COSTS</t>
  </si>
  <si>
    <t>BUY &amp; HOLD INVESTOR SALE PRICE</t>
  </si>
  <si>
    <t>1749 Yellow Rose St</t>
  </si>
  <si>
    <t>1809 Ann Greta Dr</t>
  </si>
  <si>
    <t>Fixtures (1 = need rehab, 5 = like new)</t>
  </si>
  <si>
    <t>Curb Appeal (1 = crap, 5 = great)</t>
  </si>
  <si>
    <t>1917 Ann Greta Dr</t>
  </si>
  <si>
    <t>1937 Saint Lawrence Dr</t>
  </si>
  <si>
    <t>1605 Yellow Rose St</t>
  </si>
  <si>
    <t>4429 Marlena Cir</t>
  </si>
  <si>
    <t>1612 Bluestone Dr</t>
  </si>
  <si>
    <t>1565 Yellow Rose St</t>
  </si>
  <si>
    <t>Estimated Profit Margin</t>
  </si>
  <si>
    <t>Levered Yields</t>
  </si>
  <si>
    <t>Unlevered Yields</t>
  </si>
  <si>
    <t>3419 Amethyst Glen Ct</t>
  </si>
  <si>
    <t>HOA</t>
  </si>
  <si>
    <t>Rent/sf</t>
  </si>
  <si>
    <t>Spyglass Ln</t>
  </si>
  <si>
    <t>1209 W Van Buren Ave</t>
  </si>
  <si>
    <t>6700 Silver Spoon Dr</t>
  </si>
  <si>
    <t>6517 Burgundy Way</t>
  </si>
  <si>
    <t>1612 Ludwig Dr</t>
  </si>
  <si>
    <t>Address</t>
  </si>
  <si>
    <t>Interior (1 = crap, 5 = great)</t>
  </si>
  <si>
    <t xml:space="preserve"> </t>
  </si>
  <si>
    <t>ARV Estimate</t>
  </si>
  <si>
    <t>Estimated Rental Rate</t>
  </si>
  <si>
    <t>Discount</t>
  </si>
  <si>
    <t>RULE</t>
  </si>
  <si>
    <t>ARV using Comps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</si>
</sst>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$&quot;#,##0_);[Red]\(&quot;$&quot;#,##0\)"/>
    <numFmt numFmtId="164" formatCode="&quot;$&quot;#,##0;[Red]\-&quot;$&quot;#,##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0.0"/>
    <numFmt numFmtId="168" formatCode="_(&quot;$&quot;* #,##0_);_(&quot;$&quot;* \(#,##0\);_(&quot;$&quot;* &quot;-&quot;??_);_(@_)"/>
    <numFmt numFmtId="169" formatCode="_-&quot;$&quot;* #,##0_-;\-&quot;$&quot;* #,##0_-;_-&quot;$&quot;* &quot;-&quot;??_-;_-@_-"/>
    <numFmt numFmtId="170" formatCode="&quot;$&quot;#,##0;[Red]&quot;$&quot;#,##0"/>
    <numFmt numFmtId="171" formatCode="0.0%"/>
    <numFmt numFmtId="172" formatCode="_(&quot;$&quot;* #,##0_);_(&quot;$&quot;* \(#,##0\);_(&quot;$&quot;* &quot;-&quot;?_);_(@_)"/>
    <numFmt numFmtId="173" formatCode="_(&quot;$&quot;* #,##0.0_);_(&quot;$&quot;* \(#,##0.0\);_(&quot;$&quot;* &quot;-&quot;??_);_(@_)"/>
    <numFmt numFmtId="174" formatCode="_(* #,##0_);_(* \(#,##0\);_(* &quot;-&quot;??_);_(@_)"/>
    <numFmt numFmtId="175" formatCode="&quot;$&quot;#,##0.00;[Red]&quot;$&quot;#,##0.00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color rgb="FF0070C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0000FF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scheme val="minor"/>
    </font>
    <font>
      <sz val="8"/>
      <name val="Calibri"/>
      <family val="2"/>
      <scheme val="minor"/>
    </font>
    <font>
      <b/>
      <u/>
      <sz val="12"/>
      <color theme="1"/>
      <name val="Calibri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6">
    <xf numFmtId="0" fontId="0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0">
    <xf numFmtId="0" fontId="0" fillId="0" borderId="0" xfId="0"/>
    <xf numFmtId="0" fontId="0" fillId="0" borderId="0" xfId="0" applyAlignment="1" applyProtection="1">
      <alignment horizontal="right"/>
    </xf>
    <xf numFmtId="0" fontId="0" fillId="0" borderId="0" xfId="0" applyProtection="1"/>
    <xf numFmtId="0" fontId="0" fillId="0" borderId="0" xfId="0" applyProtection="1">
      <protection locked="0"/>
    </xf>
    <xf numFmtId="0" fontId="3" fillId="2" borderId="0" xfId="0" applyFont="1" applyFill="1" applyAlignment="1" applyProtection="1">
      <alignment horizontal="center"/>
    </xf>
    <xf numFmtId="1" fontId="0" fillId="0" borderId="1" xfId="0" applyNumberFormat="1" applyBorder="1" applyProtection="1"/>
    <xf numFmtId="167" fontId="0" fillId="0" borderId="1" xfId="0" applyNumberFormat="1" applyBorder="1" applyProtection="1"/>
    <xf numFmtId="1" fontId="0" fillId="0" borderId="0" xfId="0" applyNumberFormat="1" applyAlignment="1" applyProtection="1">
      <alignment horizontal="right"/>
    </xf>
    <xf numFmtId="1" fontId="0" fillId="0" borderId="0" xfId="0" applyNumberFormat="1" applyBorder="1" applyProtection="1"/>
    <xf numFmtId="1" fontId="0" fillId="0" borderId="0" xfId="0" applyNumberFormat="1" applyProtection="1"/>
    <xf numFmtId="168" fontId="0" fillId="0" borderId="1" xfId="2" applyNumberFormat="1" applyFont="1" applyFill="1" applyBorder="1" applyAlignment="1" applyProtection="1">
      <alignment horizontal="right"/>
    </xf>
    <xf numFmtId="167" fontId="0" fillId="0" borderId="0" xfId="0" applyNumberFormat="1" applyBorder="1" applyProtection="1"/>
    <xf numFmtId="168" fontId="5" fillId="3" borderId="8" xfId="2" applyNumberFormat="1" applyFont="1" applyFill="1" applyBorder="1" applyProtection="1">
      <protection locked="0"/>
    </xf>
    <xf numFmtId="168" fontId="5" fillId="3" borderId="3" xfId="2" applyNumberFormat="1" applyFont="1" applyFill="1" applyBorder="1" applyProtection="1">
      <protection locked="0"/>
    </xf>
    <xf numFmtId="168" fontId="5" fillId="3" borderId="12" xfId="2" applyNumberFormat="1" applyFont="1" applyFill="1" applyBorder="1" applyProtection="1">
      <protection locked="0"/>
    </xf>
    <xf numFmtId="168" fontId="5" fillId="3" borderId="13" xfId="2" applyNumberFormat="1" applyFont="1" applyFill="1" applyBorder="1" applyProtection="1">
      <protection locked="0"/>
    </xf>
    <xf numFmtId="168" fontId="5" fillId="3" borderId="17" xfId="2" applyNumberFormat="1" applyFont="1" applyFill="1" applyBorder="1" applyProtection="1">
      <protection locked="0"/>
    </xf>
    <xf numFmtId="0" fontId="0" fillId="0" borderId="0" xfId="0" applyBorder="1" applyProtection="1"/>
    <xf numFmtId="0" fontId="3" fillId="0" borderId="0" xfId="0" applyFont="1" applyAlignment="1" applyProtection="1">
      <alignment horizontal="center"/>
    </xf>
    <xf numFmtId="1" fontId="0" fillId="0" borderId="0" xfId="0" applyNumberFormat="1" applyBorder="1" applyAlignment="1" applyProtection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164" fontId="0" fillId="0" borderId="0" xfId="0" applyNumberFormat="1"/>
    <xf numFmtId="170" fontId="0" fillId="0" borderId="0" xfId="0" applyNumberFormat="1"/>
    <xf numFmtId="0" fontId="0" fillId="0" borderId="18" xfId="0" applyBorder="1"/>
    <xf numFmtId="0" fontId="3" fillId="0" borderId="18" xfId="0" applyFont="1" applyBorder="1" applyAlignment="1">
      <alignment horizontal="right"/>
    </xf>
    <xf numFmtId="0" fontId="0" fillId="0" borderId="1" xfId="0" applyFill="1" applyBorder="1" applyAlignment="1" applyProtection="1">
      <alignment horizontal="center"/>
    </xf>
    <xf numFmtId="170" fontId="3" fillId="0" borderId="0" xfId="0" applyNumberFormat="1" applyFont="1"/>
    <xf numFmtId="170" fontId="3" fillId="0" borderId="18" xfId="0" applyNumberFormat="1" applyFont="1" applyBorder="1"/>
    <xf numFmtId="170" fontId="3" fillId="5" borderId="0" xfId="0" applyNumberFormat="1" applyFont="1" applyFill="1"/>
    <xf numFmtId="0" fontId="3" fillId="0" borderId="0" xfId="0" applyFont="1" applyBorder="1" applyAlignment="1">
      <alignment horizontal="right"/>
    </xf>
    <xf numFmtId="170" fontId="0" fillId="0" borderId="0" xfId="0" applyNumberFormat="1" applyFont="1" applyFill="1" applyBorder="1"/>
    <xf numFmtId="14" fontId="0" fillId="0" borderId="1" xfId="0" applyNumberFormat="1" applyFill="1" applyBorder="1" applyAlignment="1" applyProtection="1">
      <alignment horizontal="center"/>
    </xf>
    <xf numFmtId="170" fontId="0" fillId="0" borderId="1" xfId="0" applyNumberFormat="1" applyFill="1" applyBorder="1" applyAlignment="1" applyProtection="1">
      <alignment horizontal="center"/>
    </xf>
    <xf numFmtId="0" fontId="0" fillId="0" borderId="20" xfId="0" applyBorder="1" applyProtection="1"/>
    <xf numFmtId="0" fontId="3" fillId="0" borderId="9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0" fillId="0" borderId="21" xfId="0" applyBorder="1" applyProtection="1"/>
    <xf numFmtId="0" fontId="0" fillId="0" borderId="22" xfId="0" applyFill="1" applyBorder="1" applyAlignment="1" applyProtection="1">
      <alignment horizontal="center"/>
    </xf>
    <xf numFmtId="0" fontId="0" fillId="0" borderId="21" xfId="0" applyBorder="1" applyAlignment="1" applyProtection="1">
      <alignment horizontal="right"/>
    </xf>
    <xf numFmtId="0" fontId="0" fillId="0" borderId="9" xfId="0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right"/>
    </xf>
    <xf numFmtId="0" fontId="3" fillId="4" borderId="21" xfId="0" applyFont="1" applyFill="1" applyBorder="1" applyAlignment="1" applyProtection="1">
      <alignment horizontal="center"/>
    </xf>
    <xf numFmtId="1" fontId="0" fillId="0" borderId="23" xfId="0" applyNumberFormat="1" applyBorder="1" applyAlignment="1" applyProtection="1">
      <alignment horizontal="center"/>
    </xf>
    <xf numFmtId="167" fontId="0" fillId="0" borderId="23" xfId="0" applyNumberFormat="1" applyBorder="1" applyAlignment="1" applyProtection="1">
      <alignment horizontal="center"/>
    </xf>
    <xf numFmtId="1" fontId="0" fillId="0" borderId="21" xfId="0" applyNumberFormat="1" applyBorder="1" applyAlignment="1" applyProtection="1">
      <alignment horizontal="center"/>
    </xf>
    <xf numFmtId="14" fontId="0" fillId="0" borderId="22" xfId="0" applyNumberFormat="1" applyFill="1" applyBorder="1" applyAlignment="1" applyProtection="1">
      <alignment horizontal="center"/>
    </xf>
    <xf numFmtId="170" fontId="0" fillId="0" borderId="22" xfId="0" applyNumberFormat="1" applyFill="1" applyBorder="1" applyAlignment="1" applyProtection="1">
      <alignment horizontal="center"/>
    </xf>
    <xf numFmtId="170" fontId="0" fillId="0" borderId="23" xfId="0" applyNumberFormat="1" applyBorder="1" applyAlignment="1" applyProtection="1">
      <alignment horizontal="center"/>
    </xf>
    <xf numFmtId="170" fontId="0" fillId="0" borderId="24" xfId="0" applyNumberFormat="1" applyFill="1" applyBorder="1" applyAlignment="1" applyProtection="1">
      <alignment horizontal="center"/>
    </xf>
    <xf numFmtId="170" fontId="0" fillId="0" borderId="25" xfId="0" applyNumberFormat="1" applyFill="1" applyBorder="1" applyAlignment="1" applyProtection="1">
      <alignment horizontal="center"/>
    </xf>
    <xf numFmtId="0" fontId="3" fillId="0" borderId="27" xfId="0" applyFont="1" applyBorder="1" applyAlignment="1">
      <alignment horizontal="center"/>
    </xf>
    <xf numFmtId="0" fontId="0" fillId="0" borderId="29" xfId="0" applyFill="1" applyBorder="1" applyAlignment="1" applyProtection="1">
      <alignment horizontal="right"/>
    </xf>
    <xf numFmtId="0" fontId="0" fillId="0" borderId="29" xfId="0" applyFill="1" applyBorder="1" applyAlignment="1" applyProtection="1">
      <alignment horizontal="center"/>
    </xf>
    <xf numFmtId="0" fontId="13" fillId="0" borderId="5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0" fillId="0" borderId="9" xfId="0" applyBorder="1" applyAlignment="1">
      <alignment horizontal="right"/>
    </xf>
    <xf numFmtId="170" fontId="11" fillId="0" borderId="21" xfId="0" applyNumberFormat="1" applyFont="1" applyFill="1" applyBorder="1"/>
    <xf numFmtId="0" fontId="0" fillId="0" borderId="30" xfId="0" applyBorder="1" applyAlignment="1">
      <alignment horizontal="right"/>
    </xf>
    <xf numFmtId="170" fontId="11" fillId="0" borderId="31" xfId="0" applyNumberFormat="1" applyFont="1" applyFill="1" applyBorder="1"/>
    <xf numFmtId="0" fontId="3" fillId="0" borderId="14" xfId="0" applyFont="1" applyBorder="1" applyAlignment="1">
      <alignment horizontal="right"/>
    </xf>
    <xf numFmtId="170" fontId="3" fillId="0" borderId="32" xfId="0" applyNumberFormat="1" applyFont="1" applyBorder="1"/>
    <xf numFmtId="0" fontId="0" fillId="0" borderId="0" xfId="0" applyFont="1"/>
    <xf numFmtId="0" fontId="3" fillId="0" borderId="0" xfId="0" applyFont="1" applyProtection="1"/>
    <xf numFmtId="0" fontId="3" fillId="8" borderId="18" xfId="0" applyFont="1" applyFill="1" applyBorder="1" applyProtection="1"/>
    <xf numFmtId="170" fontId="0" fillId="0" borderId="18" xfId="0" applyNumberFormat="1" applyBorder="1" applyAlignment="1">
      <alignment horizontal="center"/>
    </xf>
    <xf numFmtId="171" fontId="3" fillId="0" borderId="0" xfId="3" applyNumberFormat="1" applyFont="1"/>
    <xf numFmtId="171" fontId="0" fillId="0" borderId="0" xfId="3" applyNumberFormat="1" applyFont="1" applyBorder="1" applyAlignment="1" applyProtection="1">
      <alignment horizontal="center"/>
    </xf>
    <xf numFmtId="0" fontId="11" fillId="0" borderId="1" xfId="0" applyFont="1" applyFill="1" applyBorder="1" applyAlignment="1" applyProtection="1">
      <alignment horizontal="center"/>
    </xf>
    <xf numFmtId="0" fontId="0" fillId="0" borderId="5" xfId="0" applyBorder="1" applyAlignment="1" applyProtection="1">
      <alignment horizontal="right"/>
    </xf>
    <xf numFmtId="0" fontId="0" fillId="0" borderId="9" xfId="0" applyBorder="1" applyAlignment="1" applyProtection="1">
      <alignment horizontal="right"/>
    </xf>
    <xf numFmtId="0" fontId="3" fillId="5" borderId="21" xfId="0" applyFont="1" applyFill="1" applyBorder="1" applyAlignment="1" applyProtection="1">
      <alignment horizontal="center"/>
    </xf>
    <xf numFmtId="0" fontId="0" fillId="0" borderId="14" xfId="0" applyBorder="1" applyAlignment="1" applyProtection="1">
      <alignment horizontal="right"/>
    </xf>
    <xf numFmtId="0" fontId="11" fillId="0" borderId="0" xfId="0" applyFont="1" applyFill="1" applyBorder="1" applyAlignment="1" applyProtection="1">
      <alignment horizontal="center"/>
    </xf>
    <xf numFmtId="1" fontId="3" fillId="0" borderId="23" xfId="0" applyNumberFormat="1" applyFont="1" applyBorder="1" applyAlignment="1" applyProtection="1">
      <alignment horizontal="center"/>
    </xf>
    <xf numFmtId="0" fontId="11" fillId="0" borderId="22" xfId="0" applyFont="1" applyFill="1" applyBorder="1" applyAlignment="1" applyProtection="1">
      <alignment horizontal="center"/>
    </xf>
    <xf numFmtId="0" fontId="11" fillId="0" borderId="9" xfId="0" applyFont="1" applyFill="1" applyBorder="1" applyAlignment="1" applyProtection="1">
      <alignment horizontal="center"/>
    </xf>
    <xf numFmtId="0" fontId="0" fillId="0" borderId="19" xfId="0" applyBorder="1" applyAlignment="1" applyProtection="1">
      <alignment horizontal="right"/>
    </xf>
    <xf numFmtId="0" fontId="3" fillId="0" borderId="0" xfId="0" applyFont="1" applyBorder="1" applyAlignment="1" applyProtection="1">
      <alignment horizontal="right"/>
    </xf>
    <xf numFmtId="0" fontId="0" fillId="0" borderId="33" xfId="0" applyBorder="1" applyAlignment="1" applyProtection="1">
      <alignment horizontal="right"/>
    </xf>
    <xf numFmtId="0" fontId="3" fillId="0" borderId="5" xfId="0" applyFont="1" applyBorder="1" applyProtection="1"/>
    <xf numFmtId="0" fontId="0" fillId="0" borderId="19" xfId="0" applyBorder="1" applyProtection="1"/>
    <xf numFmtId="0" fontId="0" fillId="0" borderId="9" xfId="0" applyBorder="1" applyProtection="1"/>
    <xf numFmtId="168" fontId="8" fillId="0" borderId="0" xfId="2" applyNumberFormat="1" applyFont="1" applyBorder="1" applyProtection="1">
      <protection locked="0"/>
    </xf>
    <xf numFmtId="0" fontId="8" fillId="0" borderId="0" xfId="0" applyFont="1" applyBorder="1" applyProtection="1">
      <protection locked="0"/>
    </xf>
    <xf numFmtId="172" fontId="8" fillId="0" borderId="0" xfId="0" applyNumberFormat="1" applyFont="1" applyBorder="1" applyProtection="1">
      <protection locked="0"/>
    </xf>
    <xf numFmtId="6" fontId="8" fillId="0" borderId="0" xfId="0" applyNumberFormat="1" applyFont="1" applyBorder="1" applyProtection="1">
      <protection locked="0"/>
    </xf>
    <xf numFmtId="173" fontId="8" fillId="0" borderId="0" xfId="2" applyNumberFormat="1" applyFont="1" applyBorder="1" applyProtection="1">
      <protection locked="0"/>
    </xf>
    <xf numFmtId="9" fontId="8" fillId="0" borderId="0" xfId="3" applyFont="1" applyBorder="1" applyProtection="1">
      <protection locked="0"/>
    </xf>
    <xf numFmtId="169" fontId="0" fillId="0" borderId="0" xfId="0" applyNumberFormat="1" applyBorder="1" applyProtection="1"/>
    <xf numFmtId="168" fontId="0" fillId="0" borderId="0" xfId="0" applyNumberFormat="1" applyFont="1" applyBorder="1" applyProtection="1"/>
    <xf numFmtId="171" fontId="8" fillId="0" borderId="0" xfId="3" applyNumberFormat="1" applyFont="1" applyBorder="1" applyProtection="1">
      <protection locked="0"/>
    </xf>
    <xf numFmtId="174" fontId="8" fillId="0" borderId="0" xfId="1" applyNumberFormat="1" applyFont="1" applyBorder="1" applyProtection="1">
      <protection locked="0"/>
    </xf>
    <xf numFmtId="0" fontId="8" fillId="0" borderId="0" xfId="0" applyFont="1" applyBorder="1" applyProtection="1"/>
    <xf numFmtId="0" fontId="3" fillId="8" borderId="30" xfId="0" applyFont="1" applyFill="1" applyBorder="1" applyProtection="1"/>
    <xf numFmtId="0" fontId="3" fillId="0" borderId="9" xfId="0" applyFont="1" applyBorder="1" applyProtection="1"/>
    <xf numFmtId="0" fontId="3" fillId="0" borderId="0" xfId="0" applyFont="1" applyBorder="1" applyProtection="1"/>
    <xf numFmtId="168" fontId="3" fillId="0" borderId="0" xfId="0" applyNumberFormat="1" applyFont="1" applyBorder="1" applyProtection="1"/>
    <xf numFmtId="168" fontId="3" fillId="0" borderId="0" xfId="2" applyNumberFormat="1" applyFont="1" applyBorder="1" applyProtection="1"/>
    <xf numFmtId="168" fontId="0" fillId="0" borderId="0" xfId="0" applyNumberFormat="1" applyBorder="1" applyProtection="1"/>
    <xf numFmtId="6" fontId="0" fillId="0" borderId="0" xfId="0" applyNumberFormat="1" applyBorder="1" applyProtection="1"/>
    <xf numFmtId="168" fontId="0" fillId="0" borderId="0" xfId="2" applyNumberFormat="1" applyFont="1" applyBorder="1" applyProtection="1"/>
    <xf numFmtId="0" fontId="3" fillId="11" borderId="9" xfId="0" applyFont="1" applyFill="1" applyBorder="1" applyProtection="1"/>
    <xf numFmtId="170" fontId="3" fillId="11" borderId="0" xfId="0" applyNumberFormat="1" applyFont="1" applyFill="1" applyBorder="1" applyProtection="1"/>
    <xf numFmtId="6" fontId="3" fillId="11" borderId="0" xfId="0" applyNumberFormat="1" applyFont="1" applyFill="1" applyBorder="1" applyProtection="1"/>
    <xf numFmtId="0" fontId="0" fillId="0" borderId="14" xfId="0" applyBorder="1" applyProtection="1"/>
    <xf numFmtId="0" fontId="0" fillId="0" borderId="33" xfId="0" applyBorder="1" applyProtection="1"/>
    <xf numFmtId="0" fontId="0" fillId="0" borderId="32" xfId="0" applyBorder="1" applyProtection="1"/>
    <xf numFmtId="171" fontId="3" fillId="5" borderId="1" xfId="0" applyNumberFormat="1" applyFont="1" applyFill="1" applyBorder="1" applyAlignment="1" applyProtection="1">
      <alignment horizontal="center"/>
    </xf>
    <xf numFmtId="171" fontId="3" fillId="5" borderId="1" xfId="3" applyNumberFormat="1" applyFont="1" applyFill="1" applyBorder="1" applyAlignment="1" applyProtection="1">
      <alignment horizontal="center"/>
    </xf>
    <xf numFmtId="2" fontId="3" fillId="5" borderId="1" xfId="0" applyNumberFormat="1" applyFont="1" applyFill="1" applyBorder="1" applyAlignment="1" applyProtection="1">
      <alignment horizontal="center"/>
    </xf>
    <xf numFmtId="0" fontId="0" fillId="0" borderId="5" xfId="0" applyBorder="1"/>
    <xf numFmtId="0" fontId="0" fillId="0" borderId="19" xfId="0" applyBorder="1"/>
    <xf numFmtId="0" fontId="3" fillId="0" borderId="19" xfId="0" applyFont="1" applyBorder="1" applyAlignment="1">
      <alignment horizontal="right"/>
    </xf>
    <xf numFmtId="0" fontId="0" fillId="0" borderId="20" xfId="0" applyBorder="1"/>
    <xf numFmtId="0" fontId="0" fillId="0" borderId="9" xfId="0" applyBorder="1"/>
    <xf numFmtId="0" fontId="0" fillId="0" borderId="0" xfId="0" applyBorder="1"/>
    <xf numFmtId="0" fontId="3" fillId="0" borderId="0" xfId="0" applyFont="1" applyBorder="1"/>
    <xf numFmtId="0" fontId="0" fillId="0" borderId="21" xfId="0" applyBorder="1"/>
    <xf numFmtId="170" fontId="0" fillId="0" borderId="0" xfId="2" applyNumberFormat="1" applyFont="1" applyBorder="1" applyAlignment="1">
      <alignment horizontal="center"/>
    </xf>
    <xf numFmtId="164" fontId="0" fillId="0" borderId="0" xfId="0" applyNumberFormat="1" applyBorder="1"/>
    <xf numFmtId="164" fontId="3" fillId="10" borderId="0" xfId="0" applyNumberFormat="1" applyFont="1" applyFill="1" applyBorder="1"/>
    <xf numFmtId="164" fontId="3" fillId="5" borderId="0" xfId="0" applyNumberFormat="1" applyFont="1" applyFill="1" applyBorder="1"/>
    <xf numFmtId="0" fontId="0" fillId="0" borderId="14" xfId="0" applyBorder="1"/>
    <xf numFmtId="0" fontId="0" fillId="0" borderId="33" xfId="0" applyBorder="1"/>
    <xf numFmtId="0" fontId="3" fillId="0" borderId="33" xfId="0" applyFont="1" applyBorder="1" applyAlignment="1">
      <alignment horizontal="right"/>
    </xf>
    <xf numFmtId="0" fontId="0" fillId="0" borderId="32" xfId="0" applyBorder="1"/>
    <xf numFmtId="169" fontId="3" fillId="0" borderId="0" xfId="0" applyNumberFormat="1" applyFont="1" applyBorder="1"/>
    <xf numFmtId="169" fontId="3" fillId="10" borderId="0" xfId="2" applyNumberFormat="1" applyFont="1" applyFill="1" applyBorder="1"/>
    <xf numFmtId="0" fontId="3" fillId="4" borderId="0" xfId="0" applyFont="1" applyFill="1" applyBorder="1" applyAlignment="1">
      <alignment horizontal="right"/>
    </xf>
    <xf numFmtId="0" fontId="0" fillId="0" borderId="0" xfId="0" applyFill="1" applyBorder="1"/>
    <xf numFmtId="0" fontId="3" fillId="4" borderId="0" xfId="0" applyFont="1" applyFill="1" applyAlignment="1" applyProtection="1">
      <alignment horizontal="center"/>
    </xf>
    <xf numFmtId="0" fontId="3" fillId="5" borderId="0" xfId="0" applyFont="1" applyFill="1" applyAlignment="1" applyProtection="1">
      <alignment horizontal="center"/>
    </xf>
    <xf numFmtId="170" fontId="3" fillId="0" borderId="26" xfId="0" applyNumberFormat="1" applyFont="1" applyBorder="1" applyAlignment="1" applyProtection="1">
      <alignment horizontal="center"/>
    </xf>
    <xf numFmtId="170" fontId="3" fillId="0" borderId="0" xfId="0" applyNumberFormat="1" applyFont="1" applyFill="1" applyBorder="1" applyProtection="1"/>
    <xf numFmtId="0" fontId="0" fillId="0" borderId="21" xfId="0" applyFill="1" applyBorder="1" applyProtection="1"/>
    <xf numFmtId="0" fontId="0" fillId="0" borderId="0" xfId="0" applyFill="1" applyProtection="1"/>
    <xf numFmtId="171" fontId="0" fillId="0" borderId="0" xfId="3" applyNumberFormat="1" applyFont="1" applyFill="1" applyBorder="1" applyProtection="1"/>
    <xf numFmtId="0" fontId="0" fillId="0" borderId="9" xfId="0" applyFont="1" applyFill="1" applyBorder="1" applyProtection="1"/>
    <xf numFmtId="171" fontId="0" fillId="0" borderId="33" xfId="3" applyNumberFormat="1" applyFont="1" applyBorder="1" applyProtection="1"/>
    <xf numFmtId="0" fontId="0" fillId="0" borderId="0" xfId="0" applyBorder="1" applyAlignment="1" applyProtection="1">
      <alignment horizontal="right"/>
    </xf>
    <xf numFmtId="0" fontId="0" fillId="0" borderId="0" xfId="0" applyBorder="1" applyProtection="1">
      <protection locked="0"/>
    </xf>
    <xf numFmtId="0" fontId="0" fillId="0" borderId="9" xfId="0" applyBorder="1" applyProtection="1">
      <protection locked="0"/>
    </xf>
    <xf numFmtId="170" fontId="11" fillId="0" borderId="1" xfId="2" applyNumberFormat="1" applyFont="1" applyFill="1" applyBorder="1" applyAlignment="1" applyProtection="1">
      <alignment horizontal="center"/>
    </xf>
    <xf numFmtId="170" fontId="3" fillId="0" borderId="23" xfId="2" applyNumberFormat="1" applyFont="1" applyBorder="1" applyAlignment="1" applyProtection="1">
      <alignment horizontal="center"/>
    </xf>
    <xf numFmtId="165" fontId="0" fillId="0" borderId="0" xfId="0" applyNumberFormat="1" applyAlignment="1" applyProtection="1">
      <alignment horizontal="right"/>
    </xf>
    <xf numFmtId="170" fontId="11" fillId="0" borderId="22" xfId="0" applyNumberFormat="1" applyFont="1" applyFill="1" applyBorder="1" applyAlignment="1" applyProtection="1">
      <alignment horizontal="center"/>
    </xf>
    <xf numFmtId="170" fontId="11" fillId="0" borderId="1" xfId="0" applyNumberFormat="1" applyFont="1" applyFill="1" applyBorder="1" applyAlignment="1" applyProtection="1">
      <alignment horizontal="center"/>
    </xf>
    <xf numFmtId="170" fontId="3" fillId="0" borderId="23" xfId="0" applyNumberFormat="1" applyFont="1" applyBorder="1" applyAlignment="1" applyProtection="1">
      <alignment horizontal="center"/>
    </xf>
    <xf numFmtId="0" fontId="0" fillId="12" borderId="0" xfId="0" applyFill="1" applyBorder="1" applyProtection="1"/>
    <xf numFmtId="168" fontId="1" fillId="0" borderId="1" xfId="2" applyNumberFormat="1" applyFont="1" applyFill="1" applyBorder="1" applyProtection="1"/>
    <xf numFmtId="168" fontId="3" fillId="12" borderId="1" xfId="2" applyNumberFormat="1" applyFont="1" applyFill="1" applyBorder="1" applyProtection="1"/>
    <xf numFmtId="9" fontId="8" fillId="3" borderId="0" xfId="3" applyFont="1" applyFill="1" applyBorder="1" applyProtection="1">
      <protection locked="0"/>
    </xf>
    <xf numFmtId="0" fontId="4" fillId="6" borderId="2" xfId="0" applyFont="1" applyFill="1" applyBorder="1" applyProtection="1"/>
    <xf numFmtId="0" fontId="4" fillId="6" borderId="3" xfId="0" applyFont="1" applyFill="1" applyBorder="1" applyAlignment="1" applyProtection="1">
      <alignment horizontal="center"/>
    </xf>
    <xf numFmtId="0" fontId="4" fillId="6" borderId="4" xfId="0" applyFont="1" applyFill="1" applyBorder="1" applyProtection="1"/>
    <xf numFmtId="0" fontId="4" fillId="6" borderId="2" xfId="0" applyFont="1" applyFill="1" applyBorder="1" applyAlignment="1" applyProtection="1">
      <alignment horizontal="center"/>
    </xf>
    <xf numFmtId="0" fontId="4" fillId="0" borderId="5" xfId="0" applyFont="1" applyBorder="1" applyProtection="1"/>
    <xf numFmtId="0" fontId="4" fillId="0" borderId="9" xfId="0" applyFont="1" applyBorder="1" applyProtection="1"/>
    <xf numFmtId="0" fontId="4" fillId="0" borderId="14" xfId="0" applyFont="1" applyBorder="1" applyProtection="1"/>
    <xf numFmtId="0" fontId="6" fillId="0" borderId="0" xfId="0" applyFont="1" applyBorder="1" applyAlignment="1" applyProtection="1">
      <alignment horizontal="right"/>
    </xf>
    <xf numFmtId="168" fontId="7" fillId="0" borderId="0" xfId="0" applyNumberFormat="1" applyFont="1" applyFill="1" applyBorder="1" applyProtection="1"/>
    <xf numFmtId="0" fontId="6" fillId="0" borderId="18" xfId="0" applyFont="1" applyBorder="1" applyAlignment="1" applyProtection="1">
      <alignment horizontal="right"/>
    </xf>
    <xf numFmtId="168" fontId="7" fillId="0" borderId="18" xfId="0" applyNumberFormat="1" applyFont="1" applyFill="1" applyBorder="1" applyProtection="1"/>
    <xf numFmtId="170" fontId="3" fillId="9" borderId="0" xfId="0" applyNumberFormat="1" applyFont="1" applyFill="1" applyBorder="1" applyProtection="1"/>
    <xf numFmtId="0" fontId="4" fillId="0" borderId="0" xfId="0" applyFont="1" applyProtection="1"/>
    <xf numFmtId="0" fontId="6" fillId="0" borderId="0" xfId="0" applyFont="1" applyAlignment="1" applyProtection="1">
      <alignment horizontal="right"/>
    </xf>
    <xf numFmtId="168" fontId="7" fillId="7" borderId="0" xfId="0" applyNumberFormat="1" applyFont="1" applyFill="1" applyProtection="1"/>
    <xf numFmtId="0" fontId="3" fillId="0" borderId="27" xfId="0" applyFont="1" applyBorder="1" applyAlignment="1" applyProtection="1">
      <alignment horizontal="center"/>
    </xf>
    <xf numFmtId="0" fontId="3" fillId="0" borderId="0" xfId="0" applyFont="1" applyAlignment="1" applyProtection="1">
      <alignment horizontal="right"/>
    </xf>
    <xf numFmtId="169" fontId="3" fillId="5" borderId="34" xfId="0" applyNumberFormat="1" applyFont="1" applyFill="1" applyBorder="1" applyProtection="1"/>
    <xf numFmtId="0" fontId="8" fillId="3" borderId="28" xfId="0" applyFont="1" applyFill="1" applyBorder="1" applyAlignment="1" applyProtection="1">
      <alignment horizontal="center"/>
      <protection locked="0"/>
    </xf>
    <xf numFmtId="0" fontId="0" fillId="0" borderId="29" xfId="0" applyFill="1" applyBorder="1" applyAlignment="1" applyProtection="1">
      <alignment horizontal="right"/>
      <protection locked="0"/>
    </xf>
    <xf numFmtId="0" fontId="0" fillId="0" borderId="29" xfId="0" applyFill="1" applyBorder="1" applyAlignment="1" applyProtection="1">
      <alignment horizontal="center"/>
      <protection locked="0"/>
    </xf>
    <xf numFmtId="164" fontId="8" fillId="3" borderId="0" xfId="0" applyNumberFormat="1" applyFont="1" applyFill="1" applyAlignment="1" applyProtection="1">
      <alignment horizontal="center"/>
      <protection locked="0"/>
    </xf>
    <xf numFmtId="164" fontId="8" fillId="3" borderId="0" xfId="0" applyNumberFormat="1" applyFont="1" applyFill="1" applyBorder="1" applyAlignment="1" applyProtection="1">
      <alignment horizontal="center"/>
      <protection locked="0"/>
    </xf>
    <xf numFmtId="164" fontId="8" fillId="3" borderId="18" xfId="0" applyNumberFormat="1" applyFont="1" applyFill="1" applyBorder="1" applyAlignment="1" applyProtection="1">
      <alignment horizontal="center"/>
      <protection locked="0"/>
    </xf>
    <xf numFmtId="164" fontId="8" fillId="3" borderId="0" xfId="0" applyNumberFormat="1" applyFont="1" applyFill="1" applyBorder="1" applyProtection="1">
      <protection locked="0"/>
    </xf>
    <xf numFmtId="164" fontId="8" fillId="3" borderId="18" xfId="0" applyNumberFormat="1" applyFont="1" applyFill="1" applyBorder="1" applyProtection="1">
      <protection locked="0"/>
    </xf>
    <xf numFmtId="9" fontId="8" fillId="3" borderId="0" xfId="0" applyNumberFormat="1" applyFont="1" applyFill="1" applyBorder="1" applyProtection="1">
      <protection locked="0"/>
    </xf>
    <xf numFmtId="170" fontId="8" fillId="3" borderId="18" xfId="0" applyNumberFormat="1" applyFont="1" applyFill="1" applyBorder="1" applyProtection="1">
      <protection locked="0"/>
    </xf>
    <xf numFmtId="164" fontId="8" fillId="3" borderId="35" xfId="0" applyNumberFormat="1" applyFont="1" applyFill="1" applyBorder="1" applyAlignment="1" applyProtection="1">
      <alignment horizontal="center"/>
      <protection locked="0"/>
    </xf>
    <xf numFmtId="175" fontId="0" fillId="0" borderId="25" xfId="0" applyNumberFormat="1" applyBorder="1" applyAlignment="1" applyProtection="1">
      <alignment horizontal="center"/>
    </xf>
    <xf numFmtId="175" fontId="3" fillId="0" borderId="26" xfId="0" applyNumberFormat="1" applyFont="1" applyBorder="1" applyAlignment="1" applyProtection="1">
      <alignment horizontal="center"/>
    </xf>
    <xf numFmtId="165" fontId="3" fillId="12" borderId="0" xfId="0" applyNumberFormat="1" applyFont="1" applyFill="1" applyAlignment="1" applyProtection="1">
      <alignment horizontal="right"/>
    </xf>
    <xf numFmtId="169" fontId="3" fillId="0" borderId="1" xfId="2" applyNumberFormat="1" applyFont="1" applyFill="1" applyBorder="1" applyProtection="1"/>
    <xf numFmtId="169" fontId="0" fillId="5" borderId="34" xfId="0" applyNumberFormat="1" applyFill="1" applyBorder="1" applyProtection="1"/>
    <xf numFmtId="0" fontId="8" fillId="3" borderId="1" xfId="0" applyFont="1" applyFill="1" applyBorder="1" applyProtection="1"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right"/>
      <protection locked="0"/>
    </xf>
    <xf numFmtId="166" fontId="8" fillId="3" borderId="1" xfId="1" applyFont="1" applyFill="1" applyBorder="1" applyProtection="1">
      <protection locked="0"/>
    </xf>
    <xf numFmtId="168" fontId="8" fillId="3" borderId="1" xfId="2" applyNumberFormat="1" applyFont="1" applyFill="1" applyBorder="1" applyAlignment="1" applyProtection="1">
      <alignment horizontal="right"/>
      <protection locked="0"/>
    </xf>
    <xf numFmtId="14" fontId="8" fillId="3" borderId="1" xfId="0" applyNumberFormat="1" applyFont="1" applyFill="1" applyBorder="1" applyProtection="1">
      <protection locked="0"/>
    </xf>
    <xf numFmtId="168" fontId="8" fillId="3" borderId="1" xfId="2" applyNumberFormat="1" applyFont="1" applyFill="1" applyBorder="1" applyProtection="1">
      <protection locked="0"/>
    </xf>
    <xf numFmtId="9" fontId="8" fillId="3" borderId="0" xfId="0" applyNumberFormat="1" applyFont="1" applyFill="1" applyProtection="1">
      <protection locked="0"/>
    </xf>
    <xf numFmtId="0" fontId="8" fillId="3" borderId="1" xfId="0" applyFont="1" applyFill="1" applyBorder="1" applyAlignment="1" applyProtection="1">
      <alignment horizontal="right"/>
      <protection locked="0"/>
    </xf>
    <xf numFmtId="0" fontId="0" fillId="0" borderId="10" xfId="0" applyBorder="1" applyAlignment="1" applyProtection="1">
      <alignment horizontal="left"/>
    </xf>
    <xf numFmtId="0" fontId="0" fillId="0" borderId="11" xfId="0" applyBorder="1" applyAlignment="1" applyProtection="1">
      <alignment horizontal="left"/>
    </xf>
    <xf numFmtId="0" fontId="4" fillId="6" borderId="0" xfId="0" applyFont="1" applyFill="1" applyBorder="1" applyAlignment="1" applyProtection="1">
      <alignment horizontal="center"/>
    </xf>
    <xf numFmtId="0" fontId="0" fillId="0" borderId="6" xfId="0" applyBorder="1" applyAlignment="1" applyProtection="1">
      <alignment horizontal="left"/>
    </xf>
    <xf numFmtId="0" fontId="0" fillId="0" borderId="7" xfId="0" applyBorder="1" applyAlignment="1" applyProtection="1">
      <alignment horizontal="left"/>
    </xf>
    <xf numFmtId="0" fontId="0" fillId="0" borderId="15" xfId="0" applyBorder="1" applyAlignment="1" applyProtection="1">
      <alignment horizontal="left"/>
    </xf>
    <xf numFmtId="0" fontId="0" fillId="0" borderId="16" xfId="0" applyBorder="1" applyAlignment="1" applyProtection="1">
      <alignment horizontal="left"/>
    </xf>
    <xf numFmtId="0" fontId="3" fillId="4" borderId="0" xfId="0" applyFont="1" applyFill="1" applyAlignment="1" applyProtection="1">
      <alignment horizontal="center"/>
    </xf>
    <xf numFmtId="0" fontId="3" fillId="5" borderId="0" xfId="0" applyFont="1" applyFill="1" applyAlignment="1" applyProtection="1">
      <alignment horizontal="center"/>
    </xf>
    <xf numFmtId="0" fontId="3" fillId="0" borderId="33" xfId="0" applyFont="1" applyBorder="1" applyAlignment="1">
      <alignment horizontal="center"/>
    </xf>
    <xf numFmtId="0" fontId="3" fillId="4" borderId="5" xfId="0" applyFont="1" applyFill="1" applyBorder="1" applyAlignment="1" applyProtection="1">
      <alignment horizontal="center"/>
    </xf>
    <xf numFmtId="0" fontId="3" fillId="4" borderId="19" xfId="0" applyFont="1" applyFill="1" applyBorder="1" applyAlignment="1" applyProtection="1">
      <alignment horizontal="center"/>
    </xf>
    <xf numFmtId="0" fontId="3" fillId="5" borderId="5" xfId="0" applyFont="1" applyFill="1" applyBorder="1" applyAlignment="1" applyProtection="1">
      <alignment horizontal="center"/>
    </xf>
    <xf numFmtId="0" fontId="3" fillId="5" borderId="19" xfId="0" applyFont="1" applyFill="1" applyBorder="1" applyAlignment="1" applyProtection="1">
      <alignment horizontal="center"/>
    </xf>
  </cellXfs>
  <cellStyles count="96">
    <cellStyle name="Comma" xfId="1" builtinId="3"/>
    <cellStyle name="Currency" xfId="2" builtinId="4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Normal" xfId="0" builtinId="0"/>
    <cellStyle name="Percent" xfId="3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73135</xdr:colOff>
      <xdr:row>28</xdr:row>
      <xdr:rowOff>142875</xdr:rowOff>
    </xdr:from>
    <xdr:to>
      <xdr:col>13</xdr:col>
      <xdr:colOff>774810</xdr:colOff>
      <xdr:row>33</xdr:row>
      <xdr:rowOff>57149</xdr:rowOff>
    </xdr:to>
    <xdr:sp macro="" textlink="">
      <xdr:nvSpPr>
        <xdr:cNvPr id="2" name="AutoShape 1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5126859" y="5573220"/>
          <a:ext cx="5352503" cy="877722"/>
        </a:xfrm>
        <a:prstGeom prst="roundRect">
          <a:avLst>
            <a:gd name="adj" fmla="val 7477"/>
          </a:avLst>
        </a:prstGeom>
        <a:solidFill>
          <a:schemeClr val="bg1">
            <a:lumMod val="75000"/>
          </a:schemeClr>
        </a:solidFill>
        <a:ln w="25400" cmpd="sng">
          <a:solidFill>
            <a:srgbClr val="000000"/>
          </a:solidFill>
          <a:round/>
          <a:headEnd/>
          <a:tailEnd/>
        </a:ln>
        <a:effectLst>
          <a:outerShdw blurRad="50800" dist="63500" dir="2700000" algn="tl" rotWithShape="0">
            <a:prstClr val="black">
              <a:alpha val="40000"/>
            </a:prstClr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Note: Enter any relevant construction/renovations cost item by putting corresponding costs </a:t>
          </a:r>
          <a:r>
            <a:rPr lang="en-US" sz="800" b="1" i="0" u="none" strike="noStrike" baseline="0">
              <a:solidFill>
                <a:srgbClr val="FFFF00"/>
              </a:solidFill>
              <a:latin typeface="Arial" pitchFamily="34" charset="0"/>
              <a:cs typeface="Arial" pitchFamily="34" charset="0"/>
            </a:rPr>
            <a:t>YELLOW </a:t>
          </a:r>
          <a:r>
            <a:rPr lang="en-US" sz="8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cell with </a:t>
          </a:r>
          <a:r>
            <a:rPr lang="en-US" sz="800" b="1" i="0" u="none" strike="noStrike" baseline="0">
              <a:solidFill>
                <a:srgbClr val="0070C0"/>
              </a:solidFill>
              <a:latin typeface="Arial" pitchFamily="34" charset="0"/>
              <a:cs typeface="Arial" pitchFamily="34" charset="0"/>
            </a:rPr>
            <a:t>BLUE </a:t>
          </a:r>
          <a:r>
            <a:rPr lang="en-US" sz="8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text .  Leave irrelevant cost items with $0 as the input.</a:t>
          </a:r>
        </a:p>
        <a:p>
          <a:pPr algn="l" rtl="0">
            <a:defRPr sz="1000"/>
          </a:pPr>
          <a:endParaRPr lang="en-US" sz="800" b="1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NOTE: MAKE SURE TO INCLUDE LABOR COSTS INTO YOUR ESTIMATES.  THESE SHOULD BE ALL IN COSTS, NOT JUST FOR MATERIALS.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</a:t>
          </a:r>
          <a:endParaRPr lang="en-US" sz="800" b="1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 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l" rtl="0">
            <a:defRPr sz="1000"/>
          </a:pPr>
          <a:endParaRPr lang="en-US" sz="8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T65"/>
  <sheetViews>
    <sheetView showGridLines="0" tabSelected="1" topLeftCell="A18" zoomScale="145" zoomScaleNormal="145" zoomScalePageLayoutView="145" workbookViewId="0">
      <selection activeCell="O26" sqref="O26"/>
    </sheetView>
  </sheetViews>
  <sheetFormatPr baseColWidth="10" defaultColWidth="8.83203125" defaultRowHeight="16" x14ac:dyDescent="0.2"/>
  <cols>
    <col min="1" max="1" width="19.83203125" style="2" bestFit="1" customWidth="1"/>
    <col min="2" max="4" width="8.83203125" style="2"/>
    <col min="5" max="5" width="12" style="2" customWidth="1"/>
    <col min="6" max="6" width="4.5" style="2" customWidth="1"/>
    <col min="7" max="7" width="3.5" style="2" customWidth="1"/>
    <col min="8" max="8" width="10.5" style="2" bestFit="1" customWidth="1"/>
    <col min="9" max="9" width="16.1640625" style="2" bestFit="1" customWidth="1"/>
    <col min="10" max="10" width="8" style="2" bestFit="1" customWidth="1"/>
    <col min="11" max="11" width="6.1640625" style="2" bestFit="1" customWidth="1"/>
    <col min="12" max="12" width="9.6640625" style="2" bestFit="1" customWidth="1"/>
    <col min="13" max="13" width="10.5" style="2" bestFit="1" customWidth="1"/>
    <col min="14" max="14" width="19.1640625" style="2" bestFit="1" customWidth="1"/>
    <col min="15" max="15" width="11.5" style="2" bestFit="1" customWidth="1"/>
    <col min="16" max="16384" width="8.83203125" style="2"/>
  </cols>
  <sheetData>
    <row r="1" spans="1:15" ht="17" thickBot="1" x14ac:dyDescent="0.25">
      <c r="A1" s="153" t="s">
        <v>16</v>
      </c>
      <c r="B1" s="198" t="s">
        <v>17</v>
      </c>
      <c r="C1" s="198"/>
      <c r="D1" s="198"/>
      <c r="E1" s="154" t="s">
        <v>18</v>
      </c>
      <c r="H1" s="155" t="s">
        <v>19</v>
      </c>
      <c r="I1" s="156" t="s">
        <v>20</v>
      </c>
      <c r="J1" s="156" t="s">
        <v>21</v>
      </c>
      <c r="K1" s="156" t="s">
        <v>22</v>
      </c>
      <c r="L1" s="156" t="s">
        <v>23</v>
      </c>
      <c r="M1" s="156" t="s">
        <v>24</v>
      </c>
      <c r="N1" s="156" t="s">
        <v>10</v>
      </c>
      <c r="O1" s="156" t="s">
        <v>25</v>
      </c>
    </row>
    <row r="2" spans="1:15" x14ac:dyDescent="0.2">
      <c r="A2" s="157" t="s">
        <v>26</v>
      </c>
      <c r="B2" s="199" t="s">
        <v>27</v>
      </c>
      <c r="C2" s="200"/>
      <c r="D2" s="200"/>
      <c r="E2" s="12">
        <v>0</v>
      </c>
      <c r="H2" s="153" t="s">
        <v>28</v>
      </c>
      <c r="I2" s="13">
        <v>500</v>
      </c>
      <c r="J2" s="13">
        <v>500</v>
      </c>
      <c r="K2" s="13">
        <v>0</v>
      </c>
      <c r="L2" s="13">
        <v>0</v>
      </c>
      <c r="M2" s="13">
        <v>0</v>
      </c>
      <c r="N2" s="13">
        <v>0</v>
      </c>
      <c r="O2" s="13">
        <v>0</v>
      </c>
    </row>
    <row r="3" spans="1:15" x14ac:dyDescent="0.2">
      <c r="A3" s="158"/>
      <c r="B3" s="196" t="s">
        <v>29</v>
      </c>
      <c r="C3" s="197"/>
      <c r="D3" s="197"/>
      <c r="E3" s="14">
        <v>0</v>
      </c>
      <c r="H3" s="153" t="s">
        <v>30</v>
      </c>
      <c r="I3" s="15">
        <v>250</v>
      </c>
      <c r="J3" s="15">
        <v>0</v>
      </c>
      <c r="K3" s="15">
        <v>0</v>
      </c>
      <c r="L3" s="15">
        <v>0</v>
      </c>
      <c r="M3" s="15">
        <v>0</v>
      </c>
      <c r="N3" s="15">
        <v>0</v>
      </c>
      <c r="O3" s="15">
        <v>0</v>
      </c>
    </row>
    <row r="4" spans="1:15" ht="17" thickBot="1" x14ac:dyDescent="0.25">
      <c r="A4" s="159"/>
      <c r="B4" s="201" t="s">
        <v>25</v>
      </c>
      <c r="C4" s="202"/>
      <c r="D4" s="202"/>
      <c r="E4" s="16">
        <v>0</v>
      </c>
      <c r="H4" s="153" t="s">
        <v>31</v>
      </c>
      <c r="I4" s="15">
        <v>0</v>
      </c>
      <c r="J4" s="15">
        <v>0</v>
      </c>
      <c r="K4" s="15">
        <v>0</v>
      </c>
      <c r="L4" s="15">
        <v>0</v>
      </c>
      <c r="M4" s="15">
        <v>0</v>
      </c>
      <c r="N4" s="15">
        <v>0</v>
      </c>
      <c r="O4" s="15">
        <v>0</v>
      </c>
    </row>
    <row r="5" spans="1:15" x14ac:dyDescent="0.2">
      <c r="A5" s="157" t="s">
        <v>32</v>
      </c>
      <c r="B5" s="199" t="s">
        <v>33</v>
      </c>
      <c r="C5" s="200"/>
      <c r="D5" s="200"/>
      <c r="E5" s="12">
        <v>0</v>
      </c>
      <c r="H5" s="153" t="s">
        <v>34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</row>
    <row r="6" spans="1:15" x14ac:dyDescent="0.2">
      <c r="A6" s="158"/>
      <c r="B6" s="196" t="s">
        <v>35</v>
      </c>
      <c r="C6" s="197"/>
      <c r="D6" s="197"/>
      <c r="E6" s="14">
        <v>0</v>
      </c>
      <c r="H6" s="153" t="s">
        <v>36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</row>
    <row r="7" spans="1:15" ht="17" thickBot="1" x14ac:dyDescent="0.25">
      <c r="A7" s="159"/>
      <c r="B7" s="201" t="s">
        <v>25</v>
      </c>
      <c r="C7" s="202"/>
      <c r="D7" s="202"/>
      <c r="E7" s="16">
        <v>2500</v>
      </c>
      <c r="H7" s="153" t="s">
        <v>37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1000</v>
      </c>
    </row>
    <row r="8" spans="1:15" x14ac:dyDescent="0.2">
      <c r="A8" s="157" t="s">
        <v>38</v>
      </c>
      <c r="B8" s="199" t="s">
        <v>39</v>
      </c>
      <c r="C8" s="200"/>
      <c r="D8" s="200"/>
      <c r="E8" s="12">
        <v>0</v>
      </c>
      <c r="H8" s="153" t="s">
        <v>40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</row>
    <row r="9" spans="1:15" x14ac:dyDescent="0.2">
      <c r="A9" s="158"/>
      <c r="B9" s="196" t="s">
        <v>41</v>
      </c>
      <c r="C9" s="197"/>
      <c r="D9" s="197"/>
      <c r="E9" s="14">
        <v>0</v>
      </c>
      <c r="H9" s="153" t="s">
        <v>42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</row>
    <row r="10" spans="1:15" x14ac:dyDescent="0.2">
      <c r="A10" s="158"/>
      <c r="B10" s="196" t="s">
        <v>21</v>
      </c>
      <c r="C10" s="197"/>
      <c r="D10" s="197"/>
      <c r="E10" s="14">
        <v>500</v>
      </c>
      <c r="H10" s="153" t="s">
        <v>43</v>
      </c>
      <c r="I10" s="15">
        <v>0</v>
      </c>
      <c r="J10" s="15">
        <v>1000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</row>
    <row r="11" spans="1:15" x14ac:dyDescent="0.2">
      <c r="A11" s="158"/>
      <c r="B11" s="196" t="s">
        <v>44</v>
      </c>
      <c r="C11" s="197"/>
      <c r="D11" s="197"/>
      <c r="E11" s="14">
        <v>0</v>
      </c>
      <c r="H11" s="153" t="s">
        <v>45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</row>
    <row r="12" spans="1:15" x14ac:dyDescent="0.2">
      <c r="A12" s="158"/>
      <c r="B12" s="196" t="s">
        <v>46</v>
      </c>
      <c r="C12" s="197"/>
      <c r="D12" s="197"/>
      <c r="E12" s="14">
        <v>0</v>
      </c>
      <c r="H12" s="153" t="s">
        <v>47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</row>
    <row r="13" spans="1:15" x14ac:dyDescent="0.2">
      <c r="A13" s="158"/>
      <c r="B13" s="196" t="s">
        <v>48</v>
      </c>
      <c r="C13" s="197"/>
      <c r="D13" s="197"/>
      <c r="E13" s="14">
        <v>0</v>
      </c>
      <c r="H13" s="153" t="s">
        <v>49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</row>
    <row r="14" spans="1:15" ht="17" thickBot="1" x14ac:dyDescent="0.25">
      <c r="A14" s="159"/>
      <c r="B14" s="201" t="s">
        <v>25</v>
      </c>
      <c r="C14" s="202"/>
      <c r="D14" s="202"/>
      <c r="E14" s="16">
        <v>0</v>
      </c>
      <c r="H14" s="153" t="s">
        <v>50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</row>
    <row r="15" spans="1:15" x14ac:dyDescent="0.2">
      <c r="A15" s="157" t="s">
        <v>51</v>
      </c>
      <c r="B15" s="199" t="s">
        <v>52</v>
      </c>
      <c r="C15" s="200"/>
      <c r="D15" s="200"/>
      <c r="E15" s="12">
        <v>0</v>
      </c>
      <c r="H15" s="153" t="s">
        <v>53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x14ac:dyDescent="0.2">
      <c r="A16" s="158"/>
      <c r="B16" s="196" t="s">
        <v>54</v>
      </c>
      <c r="C16" s="197"/>
      <c r="D16" s="197"/>
      <c r="E16" s="14">
        <v>0</v>
      </c>
      <c r="H16" s="153" t="s">
        <v>55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20" x14ac:dyDescent="0.2">
      <c r="A17" s="158"/>
      <c r="B17" s="196" t="s">
        <v>56</v>
      </c>
      <c r="C17" s="197"/>
      <c r="D17" s="197"/>
      <c r="E17" s="14">
        <v>0</v>
      </c>
      <c r="H17" s="153" t="s">
        <v>57</v>
      </c>
      <c r="I17" s="15">
        <v>3500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</row>
    <row r="18" spans="1:20" x14ac:dyDescent="0.2">
      <c r="A18" s="158"/>
      <c r="B18" s="196" t="s">
        <v>58</v>
      </c>
      <c r="C18" s="197"/>
      <c r="D18" s="197"/>
      <c r="E18" s="14">
        <v>0</v>
      </c>
      <c r="H18" s="153" t="s">
        <v>59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20" x14ac:dyDescent="0.2">
      <c r="A19" s="158"/>
      <c r="B19" s="196" t="s">
        <v>60</v>
      </c>
      <c r="C19" s="197"/>
      <c r="D19" s="197"/>
      <c r="E19" s="14">
        <v>0</v>
      </c>
      <c r="H19" s="155" t="s">
        <v>61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20" x14ac:dyDescent="0.2">
      <c r="A20" s="158"/>
      <c r="B20" s="196" t="s">
        <v>62</v>
      </c>
      <c r="C20" s="197"/>
      <c r="D20" s="197"/>
      <c r="E20" s="14">
        <v>0</v>
      </c>
      <c r="K20" s="17"/>
      <c r="L20" s="17"/>
      <c r="M20" s="17"/>
      <c r="N20" s="17"/>
      <c r="O20" s="17"/>
      <c r="P20" s="17"/>
      <c r="Q20" s="17"/>
      <c r="R20" s="17"/>
      <c r="S20" s="17"/>
      <c r="T20" s="17"/>
    </row>
    <row r="21" spans="1:20" x14ac:dyDescent="0.2">
      <c r="A21" s="158"/>
      <c r="B21" s="196" t="s">
        <v>63</v>
      </c>
      <c r="C21" s="197"/>
      <c r="D21" s="197"/>
      <c r="E21" s="14">
        <v>0</v>
      </c>
      <c r="K21" s="17"/>
      <c r="L21" s="17"/>
      <c r="M21" s="17"/>
      <c r="N21" s="17"/>
      <c r="O21" s="17"/>
      <c r="P21" s="17"/>
      <c r="Q21" s="17"/>
      <c r="R21" s="17"/>
      <c r="S21" s="17"/>
      <c r="T21" s="17"/>
    </row>
    <row r="22" spans="1:20" x14ac:dyDescent="0.2">
      <c r="A22" s="158"/>
      <c r="B22" s="196" t="s">
        <v>64</v>
      </c>
      <c r="C22" s="197"/>
      <c r="D22" s="197"/>
      <c r="E22" s="14">
        <v>1500</v>
      </c>
      <c r="K22" s="17"/>
      <c r="L22" s="17"/>
      <c r="M22" s="17"/>
      <c r="N22" s="160" t="s">
        <v>65</v>
      </c>
      <c r="O22" s="161">
        <f>SUM(I2:I19,J2:J19,K2:K19,L2:L19,M2:M19,N2:N19,O2:O19)</f>
        <v>6750</v>
      </c>
      <c r="Q22" s="17"/>
      <c r="R22" s="17"/>
      <c r="S22" s="17"/>
      <c r="T22" s="17"/>
    </row>
    <row r="23" spans="1:20" x14ac:dyDescent="0.2">
      <c r="A23" s="158"/>
      <c r="B23" s="196" t="s">
        <v>66</v>
      </c>
      <c r="C23" s="197"/>
      <c r="D23" s="197"/>
      <c r="E23" s="14">
        <v>0</v>
      </c>
      <c r="K23" s="17"/>
      <c r="L23" s="17"/>
      <c r="M23" s="17"/>
      <c r="N23" s="162" t="s">
        <v>67</v>
      </c>
      <c r="O23" s="163">
        <f>E65</f>
        <v>17550</v>
      </c>
      <c r="Q23" s="17"/>
      <c r="R23" s="17"/>
      <c r="S23" s="17"/>
      <c r="T23" s="17"/>
    </row>
    <row r="24" spans="1:20" x14ac:dyDescent="0.2">
      <c r="A24" s="158"/>
      <c r="B24" s="196" t="s">
        <v>68</v>
      </c>
      <c r="C24" s="197"/>
      <c r="D24" s="197"/>
      <c r="E24" s="14">
        <v>0</v>
      </c>
      <c r="K24" s="17"/>
      <c r="L24" s="17"/>
      <c r="M24" s="17"/>
      <c r="N24" s="160" t="s">
        <v>69</v>
      </c>
      <c r="O24" s="161">
        <f>SUM(O22:O23)</f>
        <v>24300</v>
      </c>
      <c r="Q24" s="17"/>
      <c r="R24" s="17"/>
      <c r="S24" s="17"/>
      <c r="T24" s="17"/>
    </row>
    <row r="25" spans="1:20" x14ac:dyDescent="0.2">
      <c r="A25" s="158"/>
      <c r="B25" s="196" t="s">
        <v>70</v>
      </c>
      <c r="C25" s="197"/>
      <c r="D25" s="197"/>
      <c r="E25" s="14">
        <v>0</v>
      </c>
      <c r="K25" s="17"/>
      <c r="L25" s="17"/>
      <c r="M25" s="17"/>
      <c r="N25" s="17"/>
      <c r="O25" s="17"/>
      <c r="P25" s="17"/>
      <c r="Q25" s="17"/>
      <c r="R25" s="17"/>
      <c r="S25" s="17"/>
      <c r="T25" s="17"/>
    </row>
    <row r="26" spans="1:20" x14ac:dyDescent="0.2">
      <c r="A26" s="158"/>
      <c r="B26" s="196" t="s">
        <v>71</v>
      </c>
      <c r="C26" s="197"/>
      <c r="D26" s="197"/>
      <c r="E26" s="14">
        <v>0</v>
      </c>
      <c r="K26" s="17"/>
      <c r="L26" s="17"/>
      <c r="M26" s="17"/>
      <c r="N26" s="78" t="s">
        <v>122</v>
      </c>
      <c r="O26" s="152">
        <v>0.15</v>
      </c>
      <c r="P26" s="17"/>
      <c r="Q26" s="17"/>
      <c r="R26" s="17"/>
      <c r="S26" s="17"/>
      <c r="T26" s="17"/>
    </row>
    <row r="27" spans="1:20" x14ac:dyDescent="0.2">
      <c r="A27" s="158"/>
      <c r="B27" s="196" t="s">
        <v>72</v>
      </c>
      <c r="C27" s="197"/>
      <c r="D27" s="197"/>
      <c r="E27" s="14">
        <v>0</v>
      </c>
      <c r="K27" s="17"/>
      <c r="L27" s="17"/>
      <c r="M27" s="17"/>
      <c r="N27" s="17"/>
      <c r="O27" s="17"/>
      <c r="P27" s="17"/>
      <c r="Q27" s="17"/>
      <c r="R27" s="17"/>
      <c r="S27" s="17"/>
      <c r="T27" s="17"/>
    </row>
    <row r="28" spans="1:20" x14ac:dyDescent="0.2">
      <c r="A28" s="158"/>
      <c r="B28" s="196" t="s">
        <v>73</v>
      </c>
      <c r="C28" s="197"/>
      <c r="D28" s="197"/>
      <c r="E28" s="14">
        <v>750</v>
      </c>
      <c r="K28" s="17"/>
      <c r="L28" s="17"/>
      <c r="M28" s="17"/>
      <c r="N28" s="78" t="s">
        <v>123</v>
      </c>
      <c r="O28" s="164">
        <f>O24*(1+O26)</f>
        <v>27944.999999999996</v>
      </c>
      <c r="P28" s="17"/>
      <c r="Q28" s="17"/>
      <c r="R28" s="17"/>
      <c r="S28" s="17"/>
      <c r="T28" s="17"/>
    </row>
    <row r="29" spans="1:20" x14ac:dyDescent="0.2">
      <c r="A29" s="158"/>
      <c r="B29" s="196" t="s">
        <v>74</v>
      </c>
      <c r="C29" s="197"/>
      <c r="D29" s="197"/>
      <c r="E29" s="14">
        <v>0</v>
      </c>
      <c r="K29" s="17"/>
      <c r="L29" s="17"/>
      <c r="M29" s="17"/>
      <c r="N29" s="17"/>
      <c r="O29" s="17"/>
      <c r="P29" s="17"/>
      <c r="Q29" s="17"/>
      <c r="R29" s="17"/>
      <c r="S29" s="17"/>
      <c r="T29" s="17"/>
    </row>
    <row r="30" spans="1:20" x14ac:dyDescent="0.2">
      <c r="A30" s="158"/>
      <c r="B30" s="196" t="s">
        <v>75</v>
      </c>
      <c r="C30" s="197"/>
      <c r="D30" s="197"/>
      <c r="E30" s="14">
        <v>0</v>
      </c>
      <c r="K30" s="17"/>
      <c r="L30" s="17"/>
      <c r="M30" s="17"/>
      <c r="N30" s="17"/>
      <c r="O30" s="17"/>
      <c r="P30" s="17"/>
      <c r="Q30" s="17"/>
      <c r="R30" s="17"/>
      <c r="S30" s="17"/>
      <c r="T30" s="17"/>
    </row>
    <row r="31" spans="1:20" x14ac:dyDescent="0.2">
      <c r="A31" s="158"/>
      <c r="B31" s="196" t="s">
        <v>76</v>
      </c>
      <c r="C31" s="197"/>
      <c r="D31" s="197"/>
      <c r="E31" s="14">
        <v>0</v>
      </c>
      <c r="K31" s="17"/>
      <c r="L31" s="17"/>
      <c r="M31" s="17"/>
      <c r="N31" s="17"/>
      <c r="O31" s="17"/>
      <c r="P31" s="17"/>
      <c r="Q31" s="17"/>
      <c r="R31" s="17"/>
      <c r="S31" s="17"/>
      <c r="T31" s="17"/>
    </row>
    <row r="32" spans="1:20" x14ac:dyDescent="0.2">
      <c r="A32" s="158"/>
      <c r="B32" s="196" t="s">
        <v>77</v>
      </c>
      <c r="C32" s="197"/>
      <c r="D32" s="197"/>
      <c r="E32" s="14">
        <v>0</v>
      </c>
      <c r="K32" s="17"/>
      <c r="L32" s="17"/>
      <c r="M32" s="17"/>
      <c r="N32" s="17"/>
      <c r="O32" s="17"/>
      <c r="P32" s="17"/>
      <c r="Q32" s="17"/>
      <c r="R32" s="17"/>
      <c r="S32" s="17"/>
      <c r="T32" s="17"/>
    </row>
    <row r="33" spans="1:20" x14ac:dyDescent="0.2">
      <c r="A33" s="158"/>
      <c r="B33" s="196" t="s">
        <v>78</v>
      </c>
      <c r="C33" s="197"/>
      <c r="D33" s="197"/>
      <c r="E33" s="14">
        <v>0</v>
      </c>
      <c r="K33" s="17"/>
      <c r="L33" s="17"/>
      <c r="M33" s="17"/>
      <c r="N33" s="17"/>
      <c r="O33" s="17"/>
      <c r="P33" s="17"/>
      <c r="Q33" s="17"/>
      <c r="R33" s="17"/>
      <c r="S33" s="17"/>
      <c r="T33" s="17"/>
    </row>
    <row r="34" spans="1:20" x14ac:dyDescent="0.2">
      <c r="A34" s="158"/>
      <c r="B34" s="196" t="s">
        <v>79</v>
      </c>
      <c r="C34" s="197"/>
      <c r="D34" s="197"/>
      <c r="E34" s="14">
        <v>0</v>
      </c>
      <c r="K34" s="17"/>
      <c r="L34" s="17"/>
      <c r="M34" s="17"/>
      <c r="N34" s="17"/>
      <c r="O34" s="17"/>
      <c r="P34" s="17"/>
      <c r="Q34" s="17"/>
      <c r="R34" s="17"/>
      <c r="S34" s="17"/>
      <c r="T34" s="17"/>
    </row>
    <row r="35" spans="1:20" ht="17" thickBot="1" x14ac:dyDescent="0.25">
      <c r="A35" s="159"/>
      <c r="B35" s="201" t="s">
        <v>25</v>
      </c>
      <c r="C35" s="202"/>
      <c r="D35" s="202"/>
      <c r="E35" s="16">
        <v>800</v>
      </c>
      <c r="K35" s="17"/>
      <c r="L35" s="17"/>
      <c r="M35" s="17"/>
      <c r="N35" s="17"/>
      <c r="O35" s="17"/>
      <c r="P35" s="17"/>
      <c r="Q35" s="17"/>
      <c r="R35" s="17"/>
      <c r="S35" s="17"/>
      <c r="T35" s="17"/>
    </row>
    <row r="36" spans="1:20" x14ac:dyDescent="0.2">
      <c r="A36" s="157" t="s">
        <v>80</v>
      </c>
      <c r="B36" s="199" t="s">
        <v>81</v>
      </c>
      <c r="C36" s="200"/>
      <c r="D36" s="200"/>
      <c r="E36" s="12">
        <v>500</v>
      </c>
      <c r="K36" s="17"/>
      <c r="L36" s="17"/>
      <c r="M36" s="17"/>
      <c r="N36" s="17"/>
      <c r="O36" s="17"/>
      <c r="P36" s="17"/>
      <c r="Q36" s="17"/>
      <c r="R36" s="17"/>
      <c r="S36" s="17"/>
      <c r="T36" s="17"/>
    </row>
    <row r="37" spans="1:20" x14ac:dyDescent="0.2">
      <c r="A37" s="82"/>
      <c r="B37" s="196" t="s">
        <v>82</v>
      </c>
      <c r="C37" s="197"/>
      <c r="D37" s="197"/>
      <c r="E37" s="14">
        <v>0</v>
      </c>
      <c r="K37" s="17"/>
      <c r="L37" s="17"/>
      <c r="M37" s="17"/>
      <c r="N37" s="17"/>
      <c r="O37" s="17"/>
      <c r="P37" s="17"/>
      <c r="Q37" s="17"/>
      <c r="R37" s="17"/>
      <c r="S37" s="17"/>
      <c r="T37" s="17"/>
    </row>
    <row r="38" spans="1:20" x14ac:dyDescent="0.2">
      <c r="A38" s="82"/>
      <c r="B38" s="196" t="s">
        <v>83</v>
      </c>
      <c r="C38" s="197"/>
      <c r="D38" s="197"/>
      <c r="E38" s="14">
        <v>0</v>
      </c>
      <c r="K38" s="17"/>
      <c r="L38" s="17"/>
      <c r="M38" s="17"/>
      <c r="N38" s="17"/>
      <c r="O38" s="17"/>
      <c r="P38" s="17"/>
      <c r="Q38" s="17"/>
      <c r="R38" s="17"/>
      <c r="S38" s="17"/>
      <c r="T38" s="17"/>
    </row>
    <row r="39" spans="1:20" x14ac:dyDescent="0.2">
      <c r="A39" s="82"/>
      <c r="B39" s="196" t="s">
        <v>84</v>
      </c>
      <c r="C39" s="197"/>
      <c r="D39" s="197"/>
      <c r="E39" s="14">
        <v>300</v>
      </c>
      <c r="K39" s="17"/>
      <c r="L39" s="17"/>
      <c r="M39" s="17"/>
      <c r="N39" s="17"/>
      <c r="O39" s="17"/>
      <c r="P39" s="17"/>
      <c r="Q39" s="17"/>
      <c r="R39" s="17"/>
      <c r="S39" s="17"/>
      <c r="T39" s="17"/>
    </row>
    <row r="40" spans="1:20" x14ac:dyDescent="0.2">
      <c r="A40" s="82"/>
      <c r="B40" s="196" t="s">
        <v>85</v>
      </c>
      <c r="C40" s="197"/>
      <c r="D40" s="197"/>
      <c r="E40" s="14">
        <v>0</v>
      </c>
      <c r="K40" s="17"/>
      <c r="L40" s="17"/>
      <c r="M40" s="17"/>
      <c r="N40" s="17"/>
      <c r="O40" s="17"/>
      <c r="P40" s="17"/>
      <c r="Q40" s="17"/>
      <c r="R40" s="17"/>
      <c r="S40" s="17"/>
      <c r="T40" s="17"/>
    </row>
    <row r="41" spans="1:20" x14ac:dyDescent="0.2">
      <c r="A41" s="82"/>
      <c r="B41" s="196" t="s">
        <v>86</v>
      </c>
      <c r="C41" s="197"/>
      <c r="D41" s="197"/>
      <c r="E41" s="14">
        <v>0</v>
      </c>
      <c r="K41" s="17"/>
      <c r="L41" s="17"/>
      <c r="M41" s="17"/>
      <c r="N41" s="17"/>
      <c r="O41" s="17"/>
      <c r="P41" s="17"/>
      <c r="Q41" s="17"/>
      <c r="R41" s="17"/>
      <c r="S41" s="17"/>
      <c r="T41" s="17"/>
    </row>
    <row r="42" spans="1:20" x14ac:dyDescent="0.2">
      <c r="A42" s="82"/>
      <c r="B42" s="196" t="s">
        <v>87</v>
      </c>
      <c r="C42" s="197"/>
      <c r="D42" s="197"/>
      <c r="E42" s="14">
        <v>500</v>
      </c>
      <c r="K42" s="17"/>
      <c r="L42" s="17"/>
      <c r="M42" s="17"/>
      <c r="N42" s="17"/>
      <c r="O42" s="17"/>
      <c r="P42" s="17"/>
      <c r="Q42" s="17"/>
      <c r="R42" s="17"/>
      <c r="S42" s="17"/>
      <c r="T42" s="17"/>
    </row>
    <row r="43" spans="1:20" x14ac:dyDescent="0.2">
      <c r="A43" s="82"/>
      <c r="B43" s="196" t="s">
        <v>41</v>
      </c>
      <c r="C43" s="197"/>
      <c r="D43" s="197"/>
      <c r="E43" s="14">
        <v>0</v>
      </c>
      <c r="K43" s="17"/>
      <c r="L43" s="17"/>
      <c r="M43" s="17"/>
      <c r="N43" s="17"/>
      <c r="O43" s="17"/>
      <c r="P43" s="17"/>
      <c r="Q43" s="17"/>
      <c r="R43" s="17"/>
      <c r="S43" s="17"/>
      <c r="T43" s="17"/>
    </row>
    <row r="44" spans="1:20" x14ac:dyDescent="0.2">
      <c r="A44" s="82"/>
      <c r="B44" s="196" t="s">
        <v>88</v>
      </c>
      <c r="C44" s="197"/>
      <c r="D44" s="197"/>
      <c r="E44" s="14">
        <v>0</v>
      </c>
      <c r="K44" s="17"/>
      <c r="L44" s="17"/>
      <c r="M44" s="17"/>
      <c r="N44" s="17"/>
      <c r="O44" s="17"/>
      <c r="P44" s="17"/>
      <c r="Q44" s="17"/>
      <c r="R44" s="17"/>
      <c r="S44" s="17"/>
      <c r="T44" s="17"/>
    </row>
    <row r="45" spans="1:20" x14ac:dyDescent="0.2">
      <c r="A45" s="82"/>
      <c r="B45" s="196" t="s">
        <v>89</v>
      </c>
      <c r="C45" s="197"/>
      <c r="D45" s="197"/>
      <c r="E45" s="14">
        <v>0</v>
      </c>
      <c r="K45" s="17"/>
      <c r="L45" s="17"/>
      <c r="M45" s="17"/>
      <c r="N45" s="17"/>
      <c r="O45" s="17"/>
      <c r="P45" s="17"/>
      <c r="Q45" s="17"/>
      <c r="R45" s="17"/>
      <c r="S45" s="17"/>
      <c r="T45" s="17"/>
    </row>
    <row r="46" spans="1:20" x14ac:dyDescent="0.2">
      <c r="A46" s="82"/>
      <c r="B46" s="196" t="s">
        <v>90</v>
      </c>
      <c r="C46" s="197"/>
      <c r="D46" s="197"/>
      <c r="E46" s="14">
        <v>9000</v>
      </c>
      <c r="K46" s="17"/>
      <c r="L46" s="17"/>
      <c r="M46" s="17"/>
      <c r="N46" s="17"/>
      <c r="O46" s="17"/>
      <c r="P46" s="17"/>
      <c r="Q46" s="17"/>
      <c r="R46" s="17"/>
      <c r="S46" s="17"/>
      <c r="T46" s="17"/>
    </row>
    <row r="47" spans="1:20" x14ac:dyDescent="0.2">
      <c r="A47" s="82"/>
      <c r="B47" s="196" t="s">
        <v>64</v>
      </c>
      <c r="C47" s="197"/>
      <c r="D47" s="197"/>
      <c r="E47" s="14">
        <v>0</v>
      </c>
      <c r="K47" s="17"/>
      <c r="L47" s="17"/>
      <c r="M47" s="17"/>
      <c r="N47" s="17"/>
      <c r="O47" s="17"/>
      <c r="P47" s="17"/>
      <c r="Q47" s="17"/>
      <c r="R47" s="17"/>
      <c r="S47" s="17"/>
      <c r="T47" s="17"/>
    </row>
    <row r="48" spans="1:20" x14ac:dyDescent="0.2">
      <c r="A48" s="82"/>
      <c r="B48" s="196" t="s">
        <v>91</v>
      </c>
      <c r="C48" s="197"/>
      <c r="D48" s="197"/>
      <c r="E48" s="14">
        <v>0</v>
      </c>
      <c r="K48" s="17"/>
      <c r="L48" s="17"/>
      <c r="M48" s="17"/>
      <c r="N48" s="17"/>
      <c r="O48" s="17"/>
      <c r="P48" s="17"/>
      <c r="Q48" s="17"/>
      <c r="R48" s="17"/>
      <c r="S48" s="17"/>
      <c r="T48" s="17"/>
    </row>
    <row r="49" spans="1:20" x14ac:dyDescent="0.2">
      <c r="A49" s="82"/>
      <c r="B49" s="196" t="s">
        <v>92</v>
      </c>
      <c r="C49" s="197"/>
      <c r="D49" s="197"/>
      <c r="E49" s="14">
        <v>1200</v>
      </c>
      <c r="K49" s="17"/>
      <c r="L49" s="17"/>
      <c r="M49" s="17"/>
      <c r="N49" s="17"/>
      <c r="O49" s="17"/>
      <c r="P49" s="17"/>
      <c r="Q49" s="17"/>
      <c r="R49" s="17"/>
      <c r="S49" s="17"/>
      <c r="T49" s="17"/>
    </row>
    <row r="50" spans="1:20" ht="17" thickBot="1" x14ac:dyDescent="0.25">
      <c r="A50" s="105"/>
      <c r="B50" s="201" t="s">
        <v>25</v>
      </c>
      <c r="C50" s="202"/>
      <c r="D50" s="202"/>
      <c r="E50" s="16">
        <v>0</v>
      </c>
      <c r="K50" s="17"/>
      <c r="L50" s="17"/>
      <c r="M50" s="17"/>
      <c r="N50" s="17"/>
      <c r="O50" s="17"/>
      <c r="P50" s="17"/>
      <c r="Q50" s="17"/>
      <c r="R50" s="17"/>
      <c r="S50" s="17"/>
      <c r="T50" s="17"/>
    </row>
    <row r="51" spans="1:20" x14ac:dyDescent="0.2">
      <c r="A51" s="157" t="s">
        <v>93</v>
      </c>
      <c r="B51" s="199" t="s">
        <v>94</v>
      </c>
      <c r="C51" s="200"/>
      <c r="D51" s="200"/>
      <c r="E51" s="12">
        <v>0</v>
      </c>
      <c r="K51" s="17"/>
      <c r="L51" s="17"/>
      <c r="M51" s="17"/>
      <c r="N51" s="17"/>
      <c r="O51" s="17"/>
      <c r="P51" s="17"/>
      <c r="Q51" s="17"/>
      <c r="R51" s="17"/>
      <c r="S51" s="17"/>
      <c r="T51" s="17"/>
    </row>
    <row r="52" spans="1:20" x14ac:dyDescent="0.2">
      <c r="A52" s="82"/>
      <c r="B52" s="196" t="s">
        <v>95</v>
      </c>
      <c r="C52" s="197"/>
      <c r="D52" s="197"/>
      <c r="E52" s="14">
        <v>0</v>
      </c>
      <c r="K52" s="17"/>
      <c r="L52" s="17"/>
      <c r="M52" s="17"/>
      <c r="N52" s="17"/>
      <c r="O52" s="17"/>
      <c r="P52" s="17"/>
      <c r="Q52" s="17"/>
      <c r="R52" s="17"/>
      <c r="S52" s="17"/>
      <c r="T52" s="17"/>
    </row>
    <row r="53" spans="1:20" x14ac:dyDescent="0.2">
      <c r="A53" s="82"/>
      <c r="B53" s="196" t="s">
        <v>96</v>
      </c>
      <c r="C53" s="197"/>
      <c r="D53" s="197"/>
      <c r="E53" s="14">
        <v>0</v>
      </c>
      <c r="K53" s="17"/>
      <c r="L53" s="17"/>
      <c r="M53" s="17"/>
      <c r="N53" s="17"/>
      <c r="O53" s="17"/>
      <c r="P53" s="17"/>
      <c r="Q53" s="17"/>
      <c r="R53" s="17"/>
      <c r="S53" s="17"/>
      <c r="T53" s="17"/>
    </row>
    <row r="54" spans="1:20" x14ac:dyDescent="0.2">
      <c r="A54" s="82"/>
      <c r="B54" s="196" t="s">
        <v>97</v>
      </c>
      <c r="C54" s="197"/>
      <c r="D54" s="197"/>
      <c r="E54" s="14">
        <v>0</v>
      </c>
      <c r="K54" s="17"/>
      <c r="L54" s="17"/>
      <c r="M54" s="17"/>
      <c r="N54" s="17"/>
      <c r="O54" s="17"/>
      <c r="P54" s="17"/>
      <c r="Q54" s="17"/>
      <c r="R54" s="17"/>
      <c r="S54" s="17"/>
      <c r="T54" s="17"/>
    </row>
    <row r="55" spans="1:20" x14ac:dyDescent="0.2">
      <c r="A55" s="82"/>
      <c r="B55" s="196" t="s">
        <v>98</v>
      </c>
      <c r="C55" s="197"/>
      <c r="D55" s="197"/>
      <c r="E55" s="14">
        <v>0</v>
      </c>
      <c r="K55" s="17"/>
      <c r="L55" s="17"/>
      <c r="M55" s="17"/>
      <c r="N55" s="17"/>
      <c r="O55" s="17"/>
      <c r="P55" s="17"/>
      <c r="Q55" s="17"/>
      <c r="R55" s="17"/>
      <c r="S55" s="17"/>
      <c r="T55" s="17"/>
    </row>
    <row r="56" spans="1:20" x14ac:dyDescent="0.2">
      <c r="A56" s="82"/>
      <c r="B56" s="196" t="s">
        <v>99</v>
      </c>
      <c r="C56" s="197"/>
      <c r="D56" s="197"/>
      <c r="E56" s="14">
        <v>0</v>
      </c>
      <c r="K56" s="17"/>
      <c r="L56" s="17"/>
      <c r="M56" s="17"/>
      <c r="N56" s="17"/>
      <c r="O56" s="17"/>
      <c r="P56" s="17"/>
      <c r="Q56" s="17"/>
      <c r="R56" s="17"/>
      <c r="S56" s="17"/>
      <c r="T56" s="17"/>
    </row>
    <row r="57" spans="1:20" x14ac:dyDescent="0.2">
      <c r="A57" s="82"/>
      <c r="B57" s="196" t="s">
        <v>100</v>
      </c>
      <c r="C57" s="197"/>
      <c r="D57" s="197"/>
      <c r="E57" s="14">
        <v>0</v>
      </c>
      <c r="K57" s="17"/>
      <c r="L57" s="17"/>
      <c r="M57" s="17"/>
      <c r="N57" s="17"/>
      <c r="O57" s="17"/>
      <c r="P57" s="17"/>
      <c r="Q57" s="17"/>
      <c r="R57" s="17"/>
      <c r="S57" s="17"/>
      <c r="T57" s="17"/>
    </row>
    <row r="58" spans="1:20" x14ac:dyDescent="0.2">
      <c r="A58" s="82"/>
      <c r="B58" s="196" t="s">
        <v>101</v>
      </c>
      <c r="C58" s="197"/>
      <c r="D58" s="197"/>
      <c r="E58" s="14">
        <v>0</v>
      </c>
      <c r="K58" s="17"/>
      <c r="L58" s="17"/>
      <c r="M58" s="17"/>
      <c r="N58" s="17"/>
      <c r="O58" s="17"/>
      <c r="P58" s="17"/>
      <c r="Q58" s="17"/>
      <c r="R58" s="17"/>
      <c r="S58" s="17"/>
      <c r="T58" s="17"/>
    </row>
    <row r="59" spans="1:20" x14ac:dyDescent="0.2">
      <c r="A59" s="82"/>
      <c r="B59" s="196" t="s">
        <v>102</v>
      </c>
      <c r="C59" s="197"/>
      <c r="D59" s="197"/>
      <c r="E59" s="14">
        <v>0</v>
      </c>
      <c r="K59" s="17"/>
      <c r="L59" s="17"/>
      <c r="M59" s="17"/>
      <c r="N59" s="17"/>
      <c r="O59" s="17"/>
      <c r="P59" s="17"/>
      <c r="Q59" s="17"/>
      <c r="R59" s="17"/>
      <c r="S59" s="17"/>
      <c r="T59" s="17"/>
    </row>
    <row r="60" spans="1:20" x14ac:dyDescent="0.2">
      <c r="A60" s="82"/>
      <c r="B60" s="196" t="s">
        <v>103</v>
      </c>
      <c r="C60" s="197"/>
      <c r="D60" s="197"/>
      <c r="E60" s="14">
        <v>0</v>
      </c>
      <c r="K60" s="17"/>
      <c r="L60" s="17"/>
      <c r="M60" s="17"/>
      <c r="N60" s="17"/>
      <c r="O60" s="17"/>
      <c r="P60" s="17"/>
      <c r="Q60" s="17"/>
      <c r="R60" s="17"/>
      <c r="S60" s="17"/>
      <c r="T60" s="17"/>
    </row>
    <row r="61" spans="1:20" x14ac:dyDescent="0.2">
      <c r="A61" s="82"/>
      <c r="B61" s="196" t="s">
        <v>104</v>
      </c>
      <c r="C61" s="197"/>
      <c r="D61" s="197"/>
      <c r="E61" s="14">
        <v>0</v>
      </c>
      <c r="K61" s="17"/>
      <c r="L61" s="17"/>
      <c r="M61" s="17"/>
      <c r="N61" s="17"/>
      <c r="O61" s="17"/>
      <c r="P61" s="17"/>
      <c r="Q61" s="17"/>
      <c r="R61" s="17"/>
      <c r="S61" s="17"/>
      <c r="T61" s="17"/>
    </row>
    <row r="62" spans="1:20" x14ac:dyDescent="0.2">
      <c r="A62" s="82"/>
      <c r="B62" s="196" t="s">
        <v>105</v>
      </c>
      <c r="C62" s="197"/>
      <c r="D62" s="197"/>
      <c r="E62" s="14">
        <v>0</v>
      </c>
      <c r="K62" s="17"/>
      <c r="L62" s="17"/>
      <c r="M62" s="17"/>
      <c r="N62" s="17"/>
      <c r="O62" s="17"/>
      <c r="P62" s="17"/>
      <c r="Q62" s="17"/>
      <c r="R62" s="17"/>
      <c r="S62" s="17"/>
      <c r="T62" s="17"/>
    </row>
    <row r="63" spans="1:20" ht="17" thickBot="1" x14ac:dyDescent="0.25">
      <c r="A63" s="105"/>
      <c r="B63" s="201" t="s">
        <v>25</v>
      </c>
      <c r="C63" s="202"/>
      <c r="D63" s="202"/>
      <c r="E63" s="16">
        <v>0</v>
      </c>
      <c r="K63" s="17"/>
      <c r="L63" s="17"/>
      <c r="M63" s="17"/>
      <c r="N63" s="17"/>
      <c r="O63" s="17"/>
      <c r="P63" s="17"/>
      <c r="Q63" s="17"/>
      <c r="R63" s="17"/>
      <c r="S63" s="17"/>
      <c r="T63" s="17"/>
    </row>
    <row r="64" spans="1:20" x14ac:dyDescent="0.2">
      <c r="D64" s="165"/>
    </row>
    <row r="65" spans="4:5" x14ac:dyDescent="0.2">
      <c r="D65" s="166" t="s">
        <v>106</v>
      </c>
      <c r="E65" s="167">
        <f>SUM(E2:E63)</f>
        <v>17550</v>
      </c>
    </row>
  </sheetData>
  <mergeCells count="63">
    <mergeCell ref="B61:D61"/>
    <mergeCell ref="B62:D62"/>
    <mergeCell ref="B63:D63"/>
    <mergeCell ref="B55:D55"/>
    <mergeCell ref="B56:D56"/>
    <mergeCell ref="B57:D57"/>
    <mergeCell ref="B58:D58"/>
    <mergeCell ref="B59:D59"/>
    <mergeCell ref="B60:D60"/>
    <mergeCell ref="B54:D54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42:D42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30:D30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18:D18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6:D6"/>
    <mergeCell ref="B1:D1"/>
    <mergeCell ref="B2:D2"/>
    <mergeCell ref="B3:D3"/>
    <mergeCell ref="B4:D4"/>
    <mergeCell ref="B5:D5"/>
  </mergeCells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2:L37"/>
  <sheetViews>
    <sheetView showGridLines="0" zoomScale="115" zoomScaleNormal="115" zoomScalePageLayoutView="115" workbookViewId="0">
      <selection activeCell="L9" activeCellId="1" sqref="L8 L9:L15"/>
    </sheetView>
  </sheetViews>
  <sheetFormatPr baseColWidth="10" defaultRowHeight="16" x14ac:dyDescent="0.2"/>
  <cols>
    <col min="1" max="1" width="37.33203125" style="1" customWidth="1"/>
    <col min="2" max="8" width="20.83203125" style="2" customWidth="1"/>
    <col min="9" max="9" width="18.1640625" style="2" bestFit="1" customWidth="1"/>
    <col min="10" max="10" width="11.83203125" style="2" bestFit="1" customWidth="1"/>
    <col min="11" max="11" width="7.83203125" style="2" customWidth="1"/>
    <col min="12" max="12" width="17.5" style="2" bestFit="1" customWidth="1"/>
    <col min="13" max="16384" width="10.83203125" style="2"/>
  </cols>
  <sheetData>
    <row r="2" spans="1:12" x14ac:dyDescent="0.2">
      <c r="B2" s="203" t="s">
        <v>11</v>
      </c>
      <c r="C2" s="203"/>
      <c r="D2" s="203"/>
      <c r="E2" s="203"/>
      <c r="F2" s="203"/>
      <c r="G2" s="203"/>
      <c r="H2" s="203"/>
    </row>
    <row r="3" spans="1:12" x14ac:dyDescent="0.2">
      <c r="B3" s="18" t="s">
        <v>107</v>
      </c>
      <c r="C3" s="18" t="s">
        <v>108</v>
      </c>
      <c r="D3" s="18" t="s">
        <v>109</v>
      </c>
      <c r="E3" s="18" t="s">
        <v>110</v>
      </c>
      <c r="F3" s="18" t="s">
        <v>111</v>
      </c>
      <c r="G3" s="18" t="s">
        <v>112</v>
      </c>
      <c r="H3" s="18" t="s">
        <v>113</v>
      </c>
    </row>
    <row r="4" spans="1:12" x14ac:dyDescent="0.2">
      <c r="A4" s="1" t="s">
        <v>224</v>
      </c>
      <c r="B4" s="187" t="s">
        <v>203</v>
      </c>
      <c r="C4" s="187" t="s">
        <v>204</v>
      </c>
      <c r="D4" s="187" t="s">
        <v>207</v>
      </c>
      <c r="E4" s="187" t="s">
        <v>208</v>
      </c>
      <c r="F4" s="187" t="s">
        <v>209</v>
      </c>
      <c r="G4" s="187" t="s">
        <v>210</v>
      </c>
      <c r="H4" s="187" t="s">
        <v>211</v>
      </c>
      <c r="I4" s="1"/>
    </row>
    <row r="5" spans="1:12" x14ac:dyDescent="0.2">
      <c r="A5" s="1" t="s">
        <v>0</v>
      </c>
      <c r="B5" s="188">
        <v>1</v>
      </c>
      <c r="C5" s="188">
        <v>1</v>
      </c>
      <c r="D5" s="188">
        <v>1</v>
      </c>
      <c r="E5" s="188">
        <v>1</v>
      </c>
      <c r="F5" s="188">
        <v>0</v>
      </c>
      <c r="G5" s="188">
        <v>0</v>
      </c>
      <c r="H5" s="188">
        <v>1</v>
      </c>
    </row>
    <row r="6" spans="1:12" ht="17" thickBot="1" x14ac:dyDescent="0.25">
      <c r="B6" s="189"/>
      <c r="C6" s="189"/>
      <c r="D6" s="189"/>
      <c r="E6" s="189"/>
      <c r="F6" s="189"/>
      <c r="G6" s="189"/>
      <c r="H6" s="189"/>
      <c r="I6" s="131" t="s">
        <v>12</v>
      </c>
    </row>
    <row r="7" spans="1:12" x14ac:dyDescent="0.2">
      <c r="A7" s="1" t="s">
        <v>2</v>
      </c>
      <c r="B7" s="187">
        <v>1180</v>
      </c>
      <c r="C7" s="187">
        <v>1279</v>
      </c>
      <c r="D7" s="187">
        <v>1579</v>
      </c>
      <c r="E7" s="187">
        <v>1115</v>
      </c>
      <c r="F7" s="187">
        <v>2522</v>
      </c>
      <c r="G7" s="187">
        <v>2253</v>
      </c>
      <c r="H7" s="187">
        <v>1764</v>
      </c>
      <c r="I7" s="5">
        <f>SUMPRODUCT($B7:$H7,$B$5:$H$5)/SUM($B$5:$H$5)</f>
        <v>1383.4</v>
      </c>
      <c r="L7" s="168" t="s">
        <v>138</v>
      </c>
    </row>
    <row r="8" spans="1:12" x14ac:dyDescent="0.2">
      <c r="A8" s="1" t="s">
        <v>3</v>
      </c>
      <c r="B8" s="187">
        <v>3</v>
      </c>
      <c r="C8" s="187">
        <v>3</v>
      </c>
      <c r="D8" s="187">
        <v>3</v>
      </c>
      <c r="E8" s="187">
        <v>3</v>
      </c>
      <c r="F8" s="187">
        <v>3</v>
      </c>
      <c r="G8" s="187">
        <v>3</v>
      </c>
      <c r="H8" s="187">
        <v>3</v>
      </c>
      <c r="I8" s="6">
        <f t="shared" ref="I8:I12" si="0">SUMPRODUCT($B8:$H8,$B$5:$H$5)/SUM($B$5:$H$5)</f>
        <v>3</v>
      </c>
      <c r="L8" s="171" t="s">
        <v>212</v>
      </c>
    </row>
    <row r="9" spans="1:12" x14ac:dyDescent="0.2">
      <c r="A9" s="1" t="s">
        <v>4</v>
      </c>
      <c r="B9" s="187">
        <v>2</v>
      </c>
      <c r="C9" s="187">
        <v>2</v>
      </c>
      <c r="D9" s="187">
        <v>2</v>
      </c>
      <c r="E9" s="187">
        <v>2</v>
      </c>
      <c r="F9" s="187">
        <v>2</v>
      </c>
      <c r="G9" s="187">
        <v>3</v>
      </c>
      <c r="H9" s="187">
        <v>2</v>
      </c>
      <c r="I9" s="6">
        <f t="shared" si="0"/>
        <v>2</v>
      </c>
      <c r="K9" s="1"/>
      <c r="L9" s="172"/>
    </row>
    <row r="10" spans="1:12" x14ac:dyDescent="0.2">
      <c r="A10" s="1" t="s">
        <v>5</v>
      </c>
      <c r="B10" s="187">
        <v>3920</v>
      </c>
      <c r="C10" s="187">
        <v>3484</v>
      </c>
      <c r="D10" s="187">
        <v>6534</v>
      </c>
      <c r="E10" s="187">
        <v>3920</v>
      </c>
      <c r="F10" s="187">
        <v>6534</v>
      </c>
      <c r="G10" s="187">
        <v>10018</v>
      </c>
      <c r="H10" s="187">
        <v>11325</v>
      </c>
      <c r="I10" s="5">
        <f t="shared" si="0"/>
        <v>5836.6</v>
      </c>
      <c r="K10" s="1" t="s">
        <v>2</v>
      </c>
      <c r="L10" s="171">
        <v>1450</v>
      </c>
    </row>
    <row r="11" spans="1:12" x14ac:dyDescent="0.2">
      <c r="B11" s="189"/>
      <c r="C11" s="189"/>
      <c r="D11" s="189"/>
      <c r="E11" s="189"/>
      <c r="F11" s="189"/>
      <c r="G11" s="189"/>
      <c r="H11" s="189"/>
      <c r="I11" s="7"/>
      <c r="K11" s="1" t="s">
        <v>3</v>
      </c>
      <c r="L11" s="171">
        <v>3</v>
      </c>
    </row>
    <row r="12" spans="1:12" x14ac:dyDescent="0.2">
      <c r="A12" s="1" t="s">
        <v>6</v>
      </c>
      <c r="B12" s="187">
        <v>1984</v>
      </c>
      <c r="C12" s="187">
        <v>1986</v>
      </c>
      <c r="D12" s="187">
        <v>1985</v>
      </c>
      <c r="E12" s="187">
        <v>1984</v>
      </c>
      <c r="F12" s="187">
        <v>1979</v>
      </c>
      <c r="G12" s="187">
        <v>1962</v>
      </c>
      <c r="H12" s="187">
        <v>1969</v>
      </c>
      <c r="I12" s="5">
        <f t="shared" si="0"/>
        <v>1981.6</v>
      </c>
      <c r="K12" s="1" t="s">
        <v>4</v>
      </c>
      <c r="L12" s="171">
        <v>2</v>
      </c>
    </row>
    <row r="13" spans="1:12" x14ac:dyDescent="0.2">
      <c r="B13" s="189"/>
      <c r="C13" s="189"/>
      <c r="D13" s="189"/>
      <c r="E13" s="189"/>
      <c r="F13" s="189"/>
      <c r="G13" s="189"/>
      <c r="H13" s="189"/>
      <c r="I13" s="7"/>
      <c r="K13" s="1" t="s">
        <v>5</v>
      </c>
      <c r="L13" s="171">
        <v>6250</v>
      </c>
    </row>
    <row r="14" spans="1:12" x14ac:dyDescent="0.2">
      <c r="A14" s="1" t="s">
        <v>8</v>
      </c>
      <c r="B14" s="192">
        <v>42867</v>
      </c>
      <c r="C14" s="192">
        <v>42856</v>
      </c>
      <c r="D14" s="192">
        <v>42845</v>
      </c>
      <c r="E14" s="192">
        <v>42843</v>
      </c>
      <c r="F14" s="192">
        <v>42839</v>
      </c>
      <c r="G14" s="192">
        <v>42821</v>
      </c>
      <c r="H14" s="192">
        <v>42794</v>
      </c>
      <c r="I14" s="9"/>
      <c r="J14" s="2" t="s">
        <v>226</v>
      </c>
      <c r="K14" s="1"/>
      <c r="L14" s="173"/>
    </row>
    <row r="15" spans="1:12" x14ac:dyDescent="0.2">
      <c r="A15" s="1" t="s">
        <v>9</v>
      </c>
      <c r="B15" s="193">
        <v>155000</v>
      </c>
      <c r="C15" s="193">
        <v>157500</v>
      </c>
      <c r="D15" s="193">
        <v>180000</v>
      </c>
      <c r="E15" s="193">
        <v>155000</v>
      </c>
      <c r="F15" s="193">
        <v>179900</v>
      </c>
      <c r="G15" s="193">
        <v>180150</v>
      </c>
      <c r="H15" s="193">
        <v>187000</v>
      </c>
      <c r="I15" s="150">
        <f t="shared" ref="I15:I16" si="1">SUMPRODUCT($B15:$H15,$B$5:$H$5)/SUM($B$5:$H$5)</f>
        <v>166900</v>
      </c>
      <c r="K15" s="1" t="s">
        <v>6</v>
      </c>
      <c r="L15" s="171">
        <v>1982</v>
      </c>
    </row>
    <row r="16" spans="1:12" ht="17" thickBot="1" x14ac:dyDescent="0.25">
      <c r="A16" s="1" t="s">
        <v>7</v>
      </c>
      <c r="B16" s="10">
        <f>B15/B7</f>
        <v>131.35593220338984</v>
      </c>
      <c r="C16" s="10">
        <f>C15/C7</f>
        <v>123.14308053166536</v>
      </c>
      <c r="D16" s="10">
        <f>D15/D7</f>
        <v>113.99620012666244</v>
      </c>
      <c r="E16" s="10">
        <f>E15/E7</f>
        <v>139.01345291479819</v>
      </c>
      <c r="F16" s="10">
        <f>F15/F7</f>
        <v>71.332275971451224</v>
      </c>
      <c r="G16" s="10">
        <f t="shared" ref="G16:H16" si="2">G15/G7</f>
        <v>79.960053262316904</v>
      </c>
      <c r="H16" s="10">
        <f t="shared" si="2"/>
        <v>106.00907029478458</v>
      </c>
      <c r="I16" s="151">
        <f t="shared" si="1"/>
        <v>122.70354721426008</v>
      </c>
    </row>
    <row r="17" spans="1:12" ht="17" thickBot="1" x14ac:dyDescent="0.25">
      <c r="B17" s="19"/>
      <c r="C17" s="19"/>
      <c r="D17" s="19"/>
      <c r="E17" s="19"/>
      <c r="F17" s="19"/>
      <c r="G17" s="19"/>
      <c r="H17" s="19"/>
      <c r="I17" s="8"/>
      <c r="K17" s="169" t="s">
        <v>227</v>
      </c>
      <c r="L17" s="170">
        <f>I16*L10</f>
        <v>177920.14346067712</v>
      </c>
    </row>
    <row r="18" spans="1:12" x14ac:dyDescent="0.2">
      <c r="A18" s="1" t="s">
        <v>206</v>
      </c>
      <c r="B18" s="187">
        <v>3</v>
      </c>
      <c r="C18" s="187">
        <v>3</v>
      </c>
      <c r="D18" s="187">
        <v>4</v>
      </c>
      <c r="E18" s="187">
        <v>3.5</v>
      </c>
      <c r="F18" s="195">
        <v>2.5</v>
      </c>
      <c r="G18" s="195">
        <v>1.5</v>
      </c>
      <c r="H18" s="195">
        <v>4</v>
      </c>
      <c r="I18" s="6">
        <f t="shared" ref="I18:I20" si="3">SUMPRODUCT($B18:$H18,$B$5:$H$5)/SUM($B$5:$H$5)</f>
        <v>3.5</v>
      </c>
    </row>
    <row r="19" spans="1:12" x14ac:dyDescent="0.2">
      <c r="A19" s="1" t="s">
        <v>225</v>
      </c>
      <c r="B19" s="187">
        <v>2.5</v>
      </c>
      <c r="C19" s="187">
        <v>4</v>
      </c>
      <c r="D19" s="187">
        <v>4</v>
      </c>
      <c r="E19" s="187">
        <v>4</v>
      </c>
      <c r="F19" s="195">
        <v>2.5</v>
      </c>
      <c r="G19" s="195">
        <v>2</v>
      </c>
      <c r="H19" s="195">
        <v>4</v>
      </c>
      <c r="I19" s="6">
        <f t="shared" si="3"/>
        <v>3.7</v>
      </c>
    </row>
    <row r="20" spans="1:12" x14ac:dyDescent="0.2">
      <c r="A20" s="1" t="s">
        <v>205</v>
      </c>
      <c r="B20" s="187">
        <v>3</v>
      </c>
      <c r="C20" s="187">
        <v>4.5</v>
      </c>
      <c r="D20" s="187">
        <v>3.5</v>
      </c>
      <c r="E20" s="187">
        <v>4</v>
      </c>
      <c r="F20" s="195">
        <v>2.5</v>
      </c>
      <c r="G20" s="195">
        <v>2.5</v>
      </c>
      <c r="H20" s="195">
        <v>3</v>
      </c>
      <c r="I20" s="6">
        <f t="shared" si="3"/>
        <v>3.6</v>
      </c>
    </row>
    <row r="24" spans="1:12" x14ac:dyDescent="0.2">
      <c r="B24" s="204" t="s">
        <v>187</v>
      </c>
      <c r="C24" s="204"/>
      <c r="D24" s="204"/>
      <c r="E24" s="204"/>
      <c r="F24" s="204"/>
      <c r="G24" s="204"/>
      <c r="H24" s="204"/>
    </row>
    <row r="25" spans="1:12" x14ac:dyDescent="0.2">
      <c r="B25" s="18" t="s">
        <v>107</v>
      </c>
      <c r="C25" s="18" t="s">
        <v>108</v>
      </c>
      <c r="D25" s="18" t="s">
        <v>109</v>
      </c>
      <c r="E25" s="18" t="s">
        <v>110</v>
      </c>
      <c r="F25" s="18" t="s">
        <v>111</v>
      </c>
      <c r="G25" s="18" t="s">
        <v>112</v>
      </c>
      <c r="H25" s="18" t="s">
        <v>113</v>
      </c>
    </row>
    <row r="26" spans="1:12" x14ac:dyDescent="0.2">
      <c r="A26" s="1" t="s">
        <v>224</v>
      </c>
      <c r="B26" s="187" t="s">
        <v>216</v>
      </c>
      <c r="C26" s="187" t="s">
        <v>219</v>
      </c>
      <c r="D26" s="187" t="s">
        <v>220</v>
      </c>
      <c r="E26" s="187" t="s">
        <v>221</v>
      </c>
      <c r="F26" s="187" t="s">
        <v>222</v>
      </c>
      <c r="G26" s="187" t="s">
        <v>223</v>
      </c>
      <c r="H26" s="187">
        <v>6520</v>
      </c>
      <c r="I26" s="1"/>
    </row>
    <row r="27" spans="1:12" x14ac:dyDescent="0.2">
      <c r="A27" s="1" t="s">
        <v>0</v>
      </c>
      <c r="B27" s="188">
        <v>1</v>
      </c>
      <c r="C27" s="188">
        <v>1</v>
      </c>
      <c r="D27" s="188">
        <v>1</v>
      </c>
      <c r="E27" s="188">
        <v>1</v>
      </c>
      <c r="F27" s="188">
        <v>0</v>
      </c>
      <c r="G27" s="188">
        <v>1</v>
      </c>
      <c r="H27" s="188">
        <v>1</v>
      </c>
    </row>
    <row r="28" spans="1:12" x14ac:dyDescent="0.2">
      <c r="B28" s="189"/>
      <c r="C28" s="189"/>
      <c r="D28" s="189"/>
      <c r="E28" s="189"/>
      <c r="F28" s="189"/>
      <c r="G28" s="189"/>
      <c r="H28" s="189"/>
      <c r="I28" s="132" t="s">
        <v>14</v>
      </c>
      <c r="J28" s="4" t="s">
        <v>1</v>
      </c>
    </row>
    <row r="29" spans="1:12" x14ac:dyDescent="0.2">
      <c r="A29" s="1" t="s">
        <v>2</v>
      </c>
      <c r="B29" s="187">
        <v>1250</v>
      </c>
      <c r="C29" s="187">
        <v>1602</v>
      </c>
      <c r="D29" s="187">
        <v>1280</v>
      </c>
      <c r="E29" s="187">
        <v>1249</v>
      </c>
      <c r="F29" s="187">
        <v>988</v>
      </c>
      <c r="G29" s="187">
        <v>1358</v>
      </c>
      <c r="H29" s="187">
        <v>1468</v>
      </c>
      <c r="I29" s="5">
        <f>SUMPRODUCT($B29:$H29,$B$27:$H$27)/SUM($B$27:$H$27)</f>
        <v>1367.8333333333333</v>
      </c>
      <c r="J29" s="5">
        <f>J7</f>
        <v>0</v>
      </c>
    </row>
    <row r="30" spans="1:12" x14ac:dyDescent="0.2">
      <c r="A30" s="1" t="s">
        <v>3</v>
      </c>
      <c r="B30" s="187">
        <v>3</v>
      </c>
      <c r="C30" s="187">
        <v>3</v>
      </c>
      <c r="D30" s="187">
        <v>3</v>
      </c>
      <c r="E30" s="187">
        <v>3</v>
      </c>
      <c r="F30" s="187">
        <v>3</v>
      </c>
      <c r="G30" s="187">
        <v>3</v>
      </c>
      <c r="H30" s="187">
        <v>3</v>
      </c>
      <c r="I30" s="6">
        <f t="shared" ref="I30:I32" si="4">SUMPRODUCT($B30:$H30,$B$27:$H$27)/SUM($B$27:$H$27)</f>
        <v>3</v>
      </c>
      <c r="J30" s="6">
        <f>J8</f>
        <v>0</v>
      </c>
    </row>
    <row r="31" spans="1:12" x14ac:dyDescent="0.2">
      <c r="A31" s="1" t="s">
        <v>4</v>
      </c>
      <c r="B31" s="187">
        <v>2</v>
      </c>
      <c r="C31" s="187">
        <v>2</v>
      </c>
      <c r="D31" s="187">
        <v>2</v>
      </c>
      <c r="E31" s="187">
        <v>2</v>
      </c>
      <c r="F31" s="187">
        <v>2</v>
      </c>
      <c r="G31" s="187">
        <v>2</v>
      </c>
      <c r="H31" s="187">
        <v>2</v>
      </c>
      <c r="I31" s="6">
        <f t="shared" si="4"/>
        <v>2</v>
      </c>
      <c r="J31" s="6">
        <f>J9</f>
        <v>0</v>
      </c>
    </row>
    <row r="32" spans="1:12" x14ac:dyDescent="0.2">
      <c r="A32" s="1" t="s">
        <v>217</v>
      </c>
      <c r="B32" s="190">
        <v>49</v>
      </c>
      <c r="C32" s="190">
        <v>0</v>
      </c>
      <c r="D32" s="190">
        <v>0</v>
      </c>
      <c r="E32" s="190">
        <v>13</v>
      </c>
      <c r="F32" s="190">
        <v>0</v>
      </c>
      <c r="G32" s="190">
        <v>0</v>
      </c>
      <c r="H32" s="190">
        <v>49</v>
      </c>
      <c r="I32" s="5">
        <f t="shared" si="4"/>
        <v>18.5</v>
      </c>
      <c r="J32" s="5">
        <f>J10</f>
        <v>0</v>
      </c>
    </row>
    <row r="33" spans="1:12" x14ac:dyDescent="0.2">
      <c r="B33" s="189"/>
      <c r="C33" s="189"/>
      <c r="D33" s="189"/>
      <c r="E33" s="189"/>
      <c r="F33" s="189"/>
      <c r="G33" s="189"/>
      <c r="H33" s="189"/>
      <c r="I33" s="7"/>
      <c r="J33" s="7"/>
    </row>
    <row r="34" spans="1:12" x14ac:dyDescent="0.2">
      <c r="A34" s="1" t="s">
        <v>15</v>
      </c>
      <c r="B34" s="191">
        <v>995</v>
      </c>
      <c r="C34" s="191">
        <v>1200</v>
      </c>
      <c r="D34" s="191">
        <v>925</v>
      </c>
      <c r="E34" s="191">
        <v>1095</v>
      </c>
      <c r="F34" s="191">
        <v>1025</v>
      </c>
      <c r="G34" s="191">
        <v>1095</v>
      </c>
      <c r="H34" s="191">
        <v>1195</v>
      </c>
      <c r="I34" s="185">
        <f>SUMPRODUCT($B34:$H34,$B$27:$H$27)/SUM($B$27:$H$27)</f>
        <v>1084.1666666666667</v>
      </c>
      <c r="J34" s="7"/>
    </row>
    <row r="35" spans="1:12" x14ac:dyDescent="0.2">
      <c r="A35" s="1" t="s">
        <v>218</v>
      </c>
      <c r="B35" s="145">
        <f>B34/B29</f>
        <v>0.79600000000000004</v>
      </c>
      <c r="C35" s="145">
        <f t="shared" ref="C35:H35" si="5">C34/C29</f>
        <v>0.74906367041198507</v>
      </c>
      <c r="D35" s="145">
        <f t="shared" si="5"/>
        <v>0.72265625</v>
      </c>
      <c r="E35" s="145">
        <f t="shared" si="5"/>
        <v>0.87670136108887109</v>
      </c>
      <c r="F35" s="145">
        <f t="shared" si="5"/>
        <v>1.0374493927125505</v>
      </c>
      <c r="G35" s="145">
        <f t="shared" si="5"/>
        <v>0.80633284241531666</v>
      </c>
      <c r="H35" s="145">
        <f t="shared" si="5"/>
        <v>0.81403269754768393</v>
      </c>
      <c r="I35" s="184">
        <f t="shared" ref="I35" si="6">I34/I29</f>
        <v>0.79261605946143543</v>
      </c>
      <c r="J35" s="7"/>
      <c r="K35" s="2" t="s">
        <v>229</v>
      </c>
      <c r="L35" s="194">
        <v>0.1</v>
      </c>
    </row>
    <row r="36" spans="1:12" ht="17" thickBot="1" x14ac:dyDescent="0.25">
      <c r="B36" s="19"/>
      <c r="C36" s="19"/>
      <c r="D36" s="19"/>
      <c r="E36" s="19"/>
      <c r="F36" s="19"/>
      <c r="G36" s="19"/>
      <c r="H36" s="19"/>
      <c r="I36" s="11"/>
      <c r="J36" s="7"/>
    </row>
    <row r="37" spans="1:12" ht="17" thickBot="1" x14ac:dyDescent="0.25">
      <c r="K37" s="169" t="s">
        <v>228</v>
      </c>
      <c r="L37" s="186">
        <f>L10*I35/(1+L35)</f>
        <v>1044.8120783809829</v>
      </c>
    </row>
  </sheetData>
  <mergeCells count="2">
    <mergeCell ref="B2:H2"/>
    <mergeCell ref="B24:H24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1:Q28"/>
  <sheetViews>
    <sheetView showGridLines="0" zoomScale="145" zoomScaleNormal="145" zoomScalePageLayoutView="145" workbookViewId="0">
      <selection activeCell="D42" sqref="D42"/>
    </sheetView>
  </sheetViews>
  <sheetFormatPr baseColWidth="10" defaultRowHeight="16" x14ac:dyDescent="0.2"/>
  <cols>
    <col min="1" max="1" width="3.5" customWidth="1"/>
    <col min="2" max="2" width="2.1640625" customWidth="1"/>
    <col min="4" max="4" width="24.83203125" style="21" customWidth="1"/>
    <col min="5" max="5" width="14.33203125" customWidth="1"/>
    <col min="6" max="6" width="15.33203125" bestFit="1" customWidth="1"/>
    <col min="8" max="8" width="3.83203125" customWidth="1"/>
    <col min="9" max="10" width="0.6640625" customWidth="1"/>
    <col min="11" max="11" width="29.6640625" bestFit="1" customWidth="1"/>
    <col min="16" max="16" width="27.33203125" bestFit="1" customWidth="1"/>
  </cols>
  <sheetData>
    <row r="1" spans="2:17" ht="17" thickBot="1" x14ac:dyDescent="0.25">
      <c r="B1" s="205" t="str">
        <f>ROUND(C6*100,0)&amp;"% RULE CALCULATION"</f>
        <v>70% RULE CALCULATION</v>
      </c>
      <c r="C1" s="205"/>
      <c r="D1" s="205"/>
      <c r="E1" s="205"/>
      <c r="F1" s="205"/>
      <c r="G1" s="205"/>
      <c r="I1" s="205" t="s">
        <v>190</v>
      </c>
      <c r="J1" s="205"/>
      <c r="K1" s="205"/>
      <c r="L1" s="205"/>
      <c r="M1" s="205"/>
      <c r="N1" s="205"/>
    </row>
    <row r="2" spans="2:17" x14ac:dyDescent="0.2">
      <c r="B2" s="111"/>
      <c r="C2" s="112"/>
      <c r="D2" s="113"/>
      <c r="E2" s="112"/>
      <c r="F2" s="112"/>
      <c r="G2" s="114"/>
      <c r="I2" s="111"/>
      <c r="J2" s="112"/>
      <c r="K2" s="113"/>
      <c r="L2" s="112"/>
      <c r="M2" s="112"/>
      <c r="N2" s="114"/>
      <c r="P2" s="20" t="s">
        <v>201</v>
      </c>
    </row>
    <row r="3" spans="2:17" x14ac:dyDescent="0.2">
      <c r="B3" s="115"/>
      <c r="C3" s="116"/>
      <c r="D3" s="30"/>
      <c r="E3" s="116"/>
      <c r="F3" s="117" t="s">
        <v>114</v>
      </c>
      <c r="G3" s="118"/>
      <c r="I3" s="115"/>
      <c r="J3" s="116"/>
      <c r="K3" s="30"/>
      <c r="L3" s="116"/>
      <c r="M3" s="117" t="s">
        <v>114</v>
      </c>
      <c r="N3" s="118"/>
      <c r="P3" t="s">
        <v>193</v>
      </c>
      <c r="Q3" s="174">
        <v>450</v>
      </c>
    </row>
    <row r="4" spans="2:17" x14ac:dyDescent="0.2">
      <c r="B4" s="115"/>
      <c r="C4" s="116"/>
      <c r="D4" s="30" t="s">
        <v>115</v>
      </c>
      <c r="E4" s="177">
        <f>F4</f>
        <v>177920.14346067712</v>
      </c>
      <c r="F4" s="119">
        <f>'ARV Calc'!L17</f>
        <v>177920.14346067712</v>
      </c>
      <c r="G4" s="118"/>
      <c r="I4" s="115"/>
      <c r="J4" s="116"/>
      <c r="K4" s="30" t="s">
        <v>115</v>
      </c>
      <c r="L4" s="177">
        <f>M4</f>
        <v>177920.14346067712</v>
      </c>
      <c r="M4" s="119">
        <f>F4</f>
        <v>177920.14346067712</v>
      </c>
      <c r="N4" s="118"/>
      <c r="P4" t="s">
        <v>194</v>
      </c>
      <c r="Q4" s="174">
        <v>1200</v>
      </c>
    </row>
    <row r="5" spans="2:17" x14ac:dyDescent="0.2">
      <c r="B5" s="115"/>
      <c r="C5" s="116" t="s">
        <v>230</v>
      </c>
      <c r="D5" s="30"/>
      <c r="E5" s="116"/>
      <c r="F5" s="116"/>
      <c r="G5" s="118"/>
      <c r="I5" s="115"/>
      <c r="J5" s="116"/>
      <c r="K5" s="30"/>
      <c r="L5" s="116"/>
      <c r="M5" s="116"/>
      <c r="N5" s="118"/>
      <c r="P5" t="s">
        <v>155</v>
      </c>
      <c r="Q5" s="174">
        <v>2500</v>
      </c>
    </row>
    <row r="6" spans="2:17" x14ac:dyDescent="0.2">
      <c r="B6" s="115"/>
      <c r="C6" s="179">
        <v>0.7</v>
      </c>
      <c r="D6" s="30" t="str">
        <f>ROUNDUP(C6*100,0)&amp;"% of ARV"</f>
        <v>70% of ARV</v>
      </c>
      <c r="E6" s="120">
        <f>C6*E4</f>
        <v>124544.10042247397</v>
      </c>
      <c r="F6" s="116"/>
      <c r="G6" s="118"/>
      <c r="I6" s="115"/>
      <c r="J6" s="116"/>
      <c r="K6" s="30" t="s">
        <v>192</v>
      </c>
      <c r="L6" s="177">
        <v>22000</v>
      </c>
      <c r="M6" s="116"/>
      <c r="N6" s="118"/>
      <c r="P6" t="s">
        <v>200</v>
      </c>
      <c r="Q6" s="174">
        <v>3500</v>
      </c>
    </row>
    <row r="7" spans="2:17" x14ac:dyDescent="0.2">
      <c r="B7" s="115"/>
      <c r="C7" s="116"/>
      <c r="D7" s="30"/>
      <c r="E7" s="116"/>
      <c r="F7" s="117" t="s">
        <v>124</v>
      </c>
      <c r="G7" s="118"/>
      <c r="I7" s="115"/>
      <c r="N7" s="118"/>
      <c r="P7" t="s">
        <v>147</v>
      </c>
      <c r="Q7" s="174">
        <v>550</v>
      </c>
    </row>
    <row r="8" spans="2:17" x14ac:dyDescent="0.2">
      <c r="B8" s="115"/>
      <c r="C8" s="24"/>
      <c r="D8" s="25" t="s">
        <v>116</v>
      </c>
      <c r="E8" s="178">
        <f>F8</f>
        <v>27944.999999999996</v>
      </c>
      <c r="F8" s="65">
        <f>'Rehab Estimator'!O28</f>
        <v>27944.999999999996</v>
      </c>
      <c r="G8" s="118"/>
      <c r="I8" s="115"/>
      <c r="K8" s="21" t="s">
        <v>191</v>
      </c>
      <c r="L8" s="177">
        <v>25000</v>
      </c>
      <c r="N8" s="118"/>
      <c r="P8" t="s">
        <v>169</v>
      </c>
      <c r="Q8" s="174">
        <v>800</v>
      </c>
    </row>
    <row r="9" spans="2:17" x14ac:dyDescent="0.2">
      <c r="B9" s="115"/>
      <c r="C9" s="116"/>
      <c r="D9" s="30"/>
      <c r="E9" s="116"/>
      <c r="F9" s="116"/>
      <c r="G9" s="118"/>
      <c r="I9" s="115"/>
      <c r="J9" s="116"/>
      <c r="K9" s="30"/>
      <c r="L9" s="116"/>
      <c r="M9" s="117" t="s">
        <v>124</v>
      </c>
      <c r="N9" s="118"/>
      <c r="P9" t="s">
        <v>151</v>
      </c>
      <c r="Q9" s="174">
        <v>250</v>
      </c>
    </row>
    <row r="10" spans="2:17" x14ac:dyDescent="0.2">
      <c r="B10" s="115"/>
      <c r="C10" s="116"/>
      <c r="D10" s="30" t="s">
        <v>117</v>
      </c>
      <c r="E10" s="121">
        <f>E6-E8</f>
        <v>96599.100422473974</v>
      </c>
      <c r="F10" s="116"/>
      <c r="G10" s="118"/>
      <c r="I10" s="115"/>
      <c r="J10" s="24"/>
      <c r="K10" s="25" t="s">
        <v>116</v>
      </c>
      <c r="L10" s="178">
        <f>M10</f>
        <v>27944.999999999996</v>
      </c>
      <c r="M10" s="65">
        <f>F8</f>
        <v>27944.999999999996</v>
      </c>
      <c r="N10" s="118"/>
      <c r="P10" t="s">
        <v>195</v>
      </c>
      <c r="Q10" s="174">
        <v>5000</v>
      </c>
    </row>
    <row r="11" spans="2:17" x14ac:dyDescent="0.2">
      <c r="B11" s="115"/>
      <c r="C11" s="116"/>
      <c r="D11" s="30"/>
      <c r="E11" s="116"/>
      <c r="F11" s="116"/>
      <c r="G11" s="118"/>
      <c r="I11" s="115"/>
      <c r="J11" s="116"/>
      <c r="K11" s="30"/>
      <c r="L11" s="116"/>
      <c r="M11" s="116"/>
      <c r="N11" s="118"/>
      <c r="P11" t="s">
        <v>196</v>
      </c>
      <c r="Q11" s="174">
        <v>5000</v>
      </c>
    </row>
    <row r="12" spans="2:17" x14ac:dyDescent="0.2">
      <c r="B12" s="115"/>
      <c r="C12" s="116"/>
      <c r="D12" s="129" t="s">
        <v>118</v>
      </c>
      <c r="E12" s="177">
        <v>7500</v>
      </c>
      <c r="F12" s="116"/>
      <c r="G12" s="118"/>
      <c r="I12" s="115"/>
      <c r="J12" s="116"/>
      <c r="K12" s="30" t="s">
        <v>117</v>
      </c>
      <c r="L12" s="121">
        <f>L4-L6-L8-L10</f>
        <v>102975.14346067712</v>
      </c>
      <c r="M12" s="116"/>
      <c r="N12" s="118"/>
      <c r="P12" t="s">
        <v>197</v>
      </c>
      <c r="Q12" s="174">
        <v>500</v>
      </c>
    </row>
    <row r="13" spans="2:17" x14ac:dyDescent="0.2">
      <c r="B13" s="115"/>
      <c r="C13" s="116"/>
      <c r="D13" s="30"/>
      <c r="E13" s="116"/>
      <c r="F13" s="116"/>
      <c r="G13" s="118"/>
      <c r="I13" s="115"/>
      <c r="J13" s="116"/>
      <c r="K13" s="30"/>
      <c r="L13" s="116"/>
      <c r="M13" s="116"/>
      <c r="N13" s="118"/>
      <c r="P13" s="116" t="s">
        <v>198</v>
      </c>
      <c r="Q13" s="175">
        <v>125</v>
      </c>
    </row>
    <row r="14" spans="2:17" x14ac:dyDescent="0.2">
      <c r="B14" s="115"/>
      <c r="C14" s="116"/>
      <c r="D14" s="30" t="s">
        <v>119</v>
      </c>
      <c r="E14" s="120">
        <f>E10-E12</f>
        <v>89099.100422473974</v>
      </c>
      <c r="F14" s="116"/>
      <c r="G14" s="118"/>
      <c r="I14" s="115"/>
      <c r="J14" s="116"/>
      <c r="K14" s="129" t="s">
        <v>118</v>
      </c>
      <c r="L14" s="177">
        <v>5000</v>
      </c>
      <c r="M14" s="116"/>
      <c r="N14" s="118"/>
      <c r="P14" s="116" t="s">
        <v>199</v>
      </c>
      <c r="Q14" s="175">
        <v>125</v>
      </c>
    </row>
    <row r="15" spans="2:17" x14ac:dyDescent="0.2">
      <c r="B15" s="115"/>
      <c r="C15" s="116"/>
      <c r="D15" s="30"/>
      <c r="E15" s="116"/>
      <c r="F15" s="116"/>
      <c r="G15" s="118"/>
      <c r="I15" s="115"/>
      <c r="J15" s="116"/>
      <c r="K15" s="30"/>
      <c r="L15" s="141"/>
      <c r="M15" s="116"/>
      <c r="N15" s="118"/>
      <c r="P15" s="130" t="s">
        <v>25</v>
      </c>
      <c r="Q15" s="175">
        <v>0</v>
      </c>
    </row>
    <row r="16" spans="2:17" x14ac:dyDescent="0.2">
      <c r="B16" s="115"/>
      <c r="C16" s="116"/>
      <c r="D16" s="30" t="s">
        <v>120</v>
      </c>
      <c r="E16" s="152">
        <v>0</v>
      </c>
      <c r="F16" s="116"/>
      <c r="G16" s="118"/>
      <c r="I16" s="115"/>
      <c r="J16" s="116"/>
      <c r="K16" s="30" t="s">
        <v>119</v>
      </c>
      <c r="L16" s="120">
        <f>L12-L14</f>
        <v>97975.143460677122</v>
      </c>
      <c r="M16" s="116"/>
      <c r="N16" s="118"/>
      <c r="P16" s="130" t="s">
        <v>25</v>
      </c>
      <c r="Q16" s="175">
        <v>0</v>
      </c>
    </row>
    <row r="17" spans="2:17" x14ac:dyDescent="0.2">
      <c r="B17" s="115"/>
      <c r="C17" s="116"/>
      <c r="D17" s="30"/>
      <c r="E17" s="116"/>
      <c r="F17" s="116"/>
      <c r="G17" s="118"/>
      <c r="I17" s="115"/>
      <c r="J17" s="116"/>
      <c r="K17" s="30"/>
      <c r="L17" s="116"/>
      <c r="M17" s="116"/>
      <c r="N17" s="118"/>
      <c r="P17" s="130" t="s">
        <v>25</v>
      </c>
      <c r="Q17" s="175">
        <v>0</v>
      </c>
    </row>
    <row r="18" spans="2:17" x14ac:dyDescent="0.2">
      <c r="B18" s="115"/>
      <c r="C18" s="116"/>
      <c r="D18" s="30" t="s">
        <v>121</v>
      </c>
      <c r="E18" s="122">
        <f>E14*(1-E16)</f>
        <v>89099.100422473974</v>
      </c>
      <c r="F18" s="116"/>
      <c r="G18" s="118"/>
      <c r="I18" s="115"/>
      <c r="J18" s="116"/>
      <c r="K18" s="30" t="s">
        <v>120</v>
      </c>
      <c r="L18" s="152">
        <v>0.05</v>
      </c>
      <c r="M18" s="116"/>
      <c r="N18" s="118"/>
      <c r="P18" s="130" t="s">
        <v>25</v>
      </c>
      <c r="Q18" s="175">
        <v>0</v>
      </c>
    </row>
    <row r="19" spans="2:17" ht="17" thickBot="1" x14ac:dyDescent="0.25">
      <c r="B19" s="123"/>
      <c r="C19" s="124"/>
      <c r="D19" s="125"/>
      <c r="E19" s="124"/>
      <c r="F19" s="124"/>
      <c r="G19" s="126"/>
      <c r="I19" s="115"/>
      <c r="J19" s="116"/>
      <c r="K19" s="30"/>
      <c r="L19" s="116"/>
      <c r="M19" s="116"/>
      <c r="N19" s="118"/>
      <c r="P19" s="130" t="s">
        <v>25</v>
      </c>
      <c r="Q19" s="175"/>
    </row>
    <row r="20" spans="2:17" x14ac:dyDescent="0.2">
      <c r="I20" s="115"/>
      <c r="J20" s="116"/>
      <c r="K20" s="30" t="s">
        <v>121</v>
      </c>
      <c r="L20" s="122">
        <f>L16*(1-L18)</f>
        <v>93076.386287643269</v>
      </c>
      <c r="M20" s="116"/>
      <c r="N20" s="118"/>
      <c r="P20" s="24" t="s">
        <v>93</v>
      </c>
      <c r="Q20" s="176">
        <v>250</v>
      </c>
    </row>
    <row r="21" spans="2:17" ht="17" thickBot="1" x14ac:dyDescent="0.25">
      <c r="B21" s="205" t="s">
        <v>202</v>
      </c>
      <c r="C21" s="205"/>
      <c r="D21" s="205"/>
      <c r="E21" s="205"/>
      <c r="F21" s="205"/>
      <c r="G21" s="205"/>
      <c r="I21" s="123"/>
      <c r="J21" s="124"/>
      <c r="K21" s="125"/>
      <c r="L21" s="124"/>
      <c r="M21" s="124"/>
      <c r="N21" s="126"/>
      <c r="P21" s="130" t="s">
        <v>127</v>
      </c>
      <c r="Q21" s="22">
        <f>SUM(Q3:Q20)</f>
        <v>20250</v>
      </c>
    </row>
    <row r="22" spans="2:17" x14ac:dyDescent="0.2">
      <c r="B22" s="111"/>
      <c r="C22" s="112"/>
      <c r="D22" s="113"/>
      <c r="E22" s="112"/>
      <c r="F22" s="112"/>
      <c r="G22" s="114"/>
    </row>
    <row r="23" spans="2:17" x14ac:dyDescent="0.2">
      <c r="B23" s="115"/>
      <c r="C23" s="116"/>
      <c r="D23" s="30" t="s">
        <v>186</v>
      </c>
      <c r="E23" s="152">
        <v>0.1</v>
      </c>
      <c r="F23" s="116"/>
      <c r="G23" s="118"/>
    </row>
    <row r="24" spans="2:17" x14ac:dyDescent="0.2">
      <c r="B24" s="115"/>
      <c r="C24" s="116"/>
      <c r="D24" s="30"/>
      <c r="E24" s="116"/>
      <c r="F24" s="116"/>
      <c r="G24" s="118"/>
    </row>
    <row r="25" spans="2:17" x14ac:dyDescent="0.2">
      <c r="B25" s="115"/>
      <c r="C25" s="116"/>
      <c r="D25" s="30" t="s">
        <v>181</v>
      </c>
      <c r="E25" s="128">
        <f>E10*(1+E23)</f>
        <v>106259.01046472137</v>
      </c>
      <c r="F25" s="116"/>
      <c r="G25" s="118"/>
    </row>
    <row r="26" spans="2:17" x14ac:dyDescent="0.2">
      <c r="B26" s="115"/>
      <c r="C26" s="116"/>
      <c r="D26" s="30"/>
      <c r="E26" s="116"/>
      <c r="F26" s="116"/>
      <c r="G26" s="118"/>
    </row>
    <row r="27" spans="2:17" x14ac:dyDescent="0.2">
      <c r="B27" s="115"/>
      <c r="C27" s="116"/>
      <c r="D27" s="129" t="s">
        <v>185</v>
      </c>
      <c r="E27" s="127">
        <f>E25-E18</f>
        <v>17159.9100422474</v>
      </c>
      <c r="F27" s="116"/>
      <c r="G27" s="118"/>
    </row>
    <row r="28" spans="2:17" ht="17" thickBot="1" x14ac:dyDescent="0.25">
      <c r="B28" s="123"/>
      <c r="C28" s="124"/>
      <c r="D28" s="125"/>
      <c r="E28" s="124"/>
      <c r="F28" s="124"/>
      <c r="G28" s="126"/>
    </row>
  </sheetData>
  <mergeCells count="3">
    <mergeCell ref="B1:G1"/>
    <mergeCell ref="I1:N1"/>
    <mergeCell ref="B21:G2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</sheetPr>
  <dimension ref="A2:J34"/>
  <sheetViews>
    <sheetView showGridLines="0" zoomScale="145" zoomScaleNormal="145" zoomScalePageLayoutView="145" workbookViewId="0">
      <selection activeCell="C21" sqref="C21"/>
    </sheetView>
  </sheetViews>
  <sheetFormatPr baseColWidth="10" defaultRowHeight="16" x14ac:dyDescent="0.2"/>
  <cols>
    <col min="1" max="1" width="17.1640625" customWidth="1"/>
    <col min="2" max="2" width="21.6640625" bestFit="1" customWidth="1"/>
    <col min="3" max="3" width="26.1640625" bestFit="1" customWidth="1"/>
    <col min="4" max="5" width="16.33203125" bestFit="1" customWidth="1"/>
    <col min="6" max="6" width="20.5" bestFit="1" customWidth="1"/>
    <col min="7" max="7" width="8.83203125" bestFit="1" customWidth="1"/>
    <col min="8" max="8" width="7.5" bestFit="1" customWidth="1"/>
    <col min="9" max="9" width="20.1640625" bestFit="1" customWidth="1"/>
    <col min="10" max="10" width="24.33203125" bestFit="1" customWidth="1"/>
    <col min="11" max="11" width="1.1640625" customWidth="1"/>
  </cols>
  <sheetData>
    <row r="2" spans="1:10" ht="17" thickBot="1" x14ac:dyDescent="0.25"/>
    <row r="3" spans="1:10" ht="17" thickBot="1" x14ac:dyDescent="0.25">
      <c r="C3" s="206" t="s">
        <v>125</v>
      </c>
      <c r="D3" s="207"/>
      <c r="E3" s="207"/>
      <c r="F3" s="207"/>
      <c r="G3" s="207"/>
      <c r="H3" s="207"/>
      <c r="I3" s="207"/>
      <c r="J3" s="34"/>
    </row>
    <row r="4" spans="1:10" x14ac:dyDescent="0.2">
      <c r="B4" s="51" t="s">
        <v>138</v>
      </c>
      <c r="C4" s="35" t="s">
        <v>107</v>
      </c>
      <c r="D4" s="36" t="s">
        <v>108</v>
      </c>
      <c r="E4" s="36" t="s">
        <v>109</v>
      </c>
      <c r="F4" s="36" t="s">
        <v>110</v>
      </c>
      <c r="G4" s="36" t="s">
        <v>111</v>
      </c>
      <c r="H4" s="36" t="s">
        <v>112</v>
      </c>
      <c r="I4" s="36" t="s">
        <v>113</v>
      </c>
      <c r="J4" s="37"/>
    </row>
    <row r="5" spans="1:10" x14ac:dyDescent="0.2">
      <c r="B5" s="171" t="s">
        <v>212</v>
      </c>
      <c r="C5" s="38" t="str">
        <f>IF('ARV Calc'!B$5,'ARV Calc'!B4,"")</f>
        <v>1749 Yellow Rose St</v>
      </c>
      <c r="D5" s="26" t="str">
        <f>IF('ARV Calc'!C$5,'ARV Calc'!C4,"")</f>
        <v>1809 Ann Greta Dr</v>
      </c>
      <c r="E5" s="26" t="str">
        <f>IF('ARV Calc'!D$5,'ARV Calc'!D4,"")</f>
        <v>1917 Ann Greta Dr</v>
      </c>
      <c r="F5" s="26" t="str">
        <f>IF('ARV Calc'!E$5,'ARV Calc'!E4,"")</f>
        <v>1937 Saint Lawrence Dr</v>
      </c>
      <c r="G5" s="26" t="str">
        <f>IF('ARV Calc'!F$5,'ARV Calc'!F4,"")</f>
        <v/>
      </c>
      <c r="H5" s="26" t="str">
        <f>IF('ARV Calc'!G$5,'ARV Calc'!G4,"")</f>
        <v/>
      </c>
      <c r="I5" s="26" t="str">
        <f>IF('ARV Calc'!H$5,'ARV Calc'!H4,"")</f>
        <v>1612 Bluestone Dr</v>
      </c>
      <c r="J5" s="39"/>
    </row>
    <row r="6" spans="1:10" x14ac:dyDescent="0.2">
      <c r="A6" s="1"/>
      <c r="B6" s="52"/>
      <c r="C6" s="40"/>
      <c r="D6" s="41"/>
      <c r="E6" s="41"/>
      <c r="F6" s="41"/>
      <c r="G6" s="41"/>
      <c r="H6" s="41"/>
      <c r="I6" s="41"/>
      <c r="J6" s="42" t="s">
        <v>139</v>
      </c>
    </row>
    <row r="7" spans="1:10" x14ac:dyDescent="0.2">
      <c r="A7" s="1" t="s">
        <v>2</v>
      </c>
      <c r="B7" s="171">
        <v>1450</v>
      </c>
      <c r="C7" s="38">
        <f>IF('ARV Calc'!B$5,'ARV Calc'!B7,"")</f>
        <v>1180</v>
      </c>
      <c r="D7" s="26">
        <f>IF('ARV Calc'!C$5,'ARV Calc'!C7,"")</f>
        <v>1279</v>
      </c>
      <c r="E7" s="26">
        <f>IF('ARV Calc'!D$5,'ARV Calc'!D7,"")</f>
        <v>1579</v>
      </c>
      <c r="F7" s="26">
        <f>IF('ARV Calc'!E$5,'ARV Calc'!E7,"")</f>
        <v>1115</v>
      </c>
      <c r="G7" s="26" t="str">
        <f>IF('ARV Calc'!F$5,'ARV Calc'!F7,"")</f>
        <v/>
      </c>
      <c r="H7" s="26" t="str">
        <f>IF('ARV Calc'!G$5,'ARV Calc'!G7,"")</f>
        <v/>
      </c>
      <c r="I7" s="26">
        <f>IF('ARV Calc'!H$5,'ARV Calc'!H7,"")</f>
        <v>1764</v>
      </c>
      <c r="J7" s="43">
        <f>AVERAGE(C7:I7)</f>
        <v>1383.4</v>
      </c>
    </row>
    <row r="8" spans="1:10" x14ac:dyDescent="0.2">
      <c r="A8" s="1" t="s">
        <v>3</v>
      </c>
      <c r="B8" s="171">
        <v>3</v>
      </c>
      <c r="C8" s="38">
        <f>IF('ARV Calc'!B$5,'ARV Calc'!B8,"")</f>
        <v>3</v>
      </c>
      <c r="D8" s="26">
        <f>IF('ARV Calc'!C$5,'ARV Calc'!C8,"")</f>
        <v>3</v>
      </c>
      <c r="E8" s="26">
        <f>IF('ARV Calc'!D$5,'ARV Calc'!D8,"")</f>
        <v>3</v>
      </c>
      <c r="F8" s="26">
        <f>IF('ARV Calc'!E$5,'ARV Calc'!E8,"")</f>
        <v>3</v>
      </c>
      <c r="G8" s="26" t="str">
        <f>IF('ARV Calc'!F$5,'ARV Calc'!F8,"")</f>
        <v/>
      </c>
      <c r="H8" s="26" t="str">
        <f>IF('ARV Calc'!G$5,'ARV Calc'!G8,"")</f>
        <v/>
      </c>
      <c r="I8" s="26">
        <f>IF('ARV Calc'!H$5,'ARV Calc'!H8,"")</f>
        <v>3</v>
      </c>
      <c r="J8" s="44">
        <f t="shared" ref="J8:J12" si="0">AVERAGE(C8:I8)</f>
        <v>3</v>
      </c>
    </row>
    <row r="9" spans="1:10" x14ac:dyDescent="0.2">
      <c r="A9" s="1" t="s">
        <v>4</v>
      </c>
      <c r="B9" s="171">
        <v>2</v>
      </c>
      <c r="C9" s="38">
        <f>IF('ARV Calc'!B$5,'ARV Calc'!B9,"")</f>
        <v>2</v>
      </c>
      <c r="D9" s="26">
        <f>IF('ARV Calc'!C$5,'ARV Calc'!C9,"")</f>
        <v>2</v>
      </c>
      <c r="E9" s="26">
        <f>IF('ARV Calc'!D$5,'ARV Calc'!D9,"")</f>
        <v>2</v>
      </c>
      <c r="F9" s="26">
        <f>IF('ARV Calc'!E$5,'ARV Calc'!E9,"")</f>
        <v>2</v>
      </c>
      <c r="G9" s="26" t="str">
        <f>IF('ARV Calc'!F$5,'ARV Calc'!F9,"")</f>
        <v/>
      </c>
      <c r="H9" s="26" t="str">
        <f>IF('ARV Calc'!G$5,'ARV Calc'!G9,"")</f>
        <v/>
      </c>
      <c r="I9" s="26">
        <f>IF('ARV Calc'!H$5,'ARV Calc'!H9,"")</f>
        <v>2</v>
      </c>
      <c r="J9" s="44">
        <f t="shared" si="0"/>
        <v>2</v>
      </c>
    </row>
    <row r="10" spans="1:10" x14ac:dyDescent="0.2">
      <c r="A10" s="1" t="s">
        <v>5</v>
      </c>
      <c r="B10" s="171">
        <v>6250</v>
      </c>
      <c r="C10" s="38">
        <f>IF('ARV Calc'!B$5,'ARV Calc'!B10,"")</f>
        <v>3920</v>
      </c>
      <c r="D10" s="26">
        <f>IF('ARV Calc'!C$5,'ARV Calc'!C10,"")</f>
        <v>3484</v>
      </c>
      <c r="E10" s="26">
        <f>IF('ARV Calc'!D$5,'ARV Calc'!D10,"")</f>
        <v>6534</v>
      </c>
      <c r="F10" s="26">
        <f>IF('ARV Calc'!E$5,'ARV Calc'!E10,"")</f>
        <v>3920</v>
      </c>
      <c r="G10" s="26" t="str">
        <f>IF('ARV Calc'!F$5,'ARV Calc'!F10,"")</f>
        <v/>
      </c>
      <c r="H10" s="26" t="str">
        <f>IF('ARV Calc'!G$5,'ARV Calc'!G10,"")</f>
        <v/>
      </c>
      <c r="I10" s="26">
        <f>IF('ARV Calc'!H$5,'ARV Calc'!H10,"")</f>
        <v>11325</v>
      </c>
      <c r="J10" s="43">
        <f t="shared" si="0"/>
        <v>5836.6</v>
      </c>
    </row>
    <row r="11" spans="1:10" x14ac:dyDescent="0.2">
      <c r="A11" s="1"/>
      <c r="B11" s="53"/>
      <c r="C11" s="40"/>
      <c r="D11" s="41"/>
      <c r="E11" s="41"/>
      <c r="F11" s="41"/>
      <c r="G11" s="41"/>
      <c r="H11" s="41"/>
      <c r="I11" s="41"/>
      <c r="J11" s="45"/>
    </row>
    <row r="12" spans="1:10" x14ac:dyDescent="0.2">
      <c r="A12" s="1" t="s">
        <v>6</v>
      </c>
      <c r="B12" s="171">
        <v>1982</v>
      </c>
      <c r="C12" s="38">
        <f>IF('ARV Calc'!B$5,'ARV Calc'!B12,"")</f>
        <v>1984</v>
      </c>
      <c r="D12" s="26">
        <f>IF('ARV Calc'!C$5,'ARV Calc'!C12,"")</f>
        <v>1986</v>
      </c>
      <c r="E12" s="26">
        <f>IF('ARV Calc'!D$5,'ARV Calc'!D12,"")</f>
        <v>1985</v>
      </c>
      <c r="F12" s="26">
        <f>IF('ARV Calc'!E$5,'ARV Calc'!E12,"")</f>
        <v>1984</v>
      </c>
      <c r="G12" s="26" t="str">
        <f>IF('ARV Calc'!F$5,'ARV Calc'!F12,"")</f>
        <v/>
      </c>
      <c r="H12" s="26" t="str">
        <f>IF('ARV Calc'!G$5,'ARV Calc'!G12,"")</f>
        <v/>
      </c>
      <c r="I12" s="26">
        <f>IF('ARV Calc'!H$5,'ARV Calc'!H12,"")</f>
        <v>1969</v>
      </c>
      <c r="J12" s="43">
        <f t="shared" si="0"/>
        <v>1981.6</v>
      </c>
    </row>
    <row r="13" spans="1:10" x14ac:dyDescent="0.2">
      <c r="A13" s="1"/>
      <c r="B13" s="1"/>
      <c r="C13" s="40"/>
      <c r="D13" s="41"/>
      <c r="E13" s="41"/>
      <c r="F13" s="41"/>
      <c r="G13" s="41"/>
      <c r="H13" s="41"/>
      <c r="I13" s="41"/>
      <c r="J13" s="45"/>
    </row>
    <row r="14" spans="1:10" x14ac:dyDescent="0.2">
      <c r="B14" s="1" t="s">
        <v>8</v>
      </c>
      <c r="C14" s="46">
        <f>IF('ARV Calc'!B$5,'ARV Calc'!B14,"")</f>
        <v>42867</v>
      </c>
      <c r="D14" s="32">
        <f>IF('ARV Calc'!C$5,'ARV Calc'!C14,"")</f>
        <v>42856</v>
      </c>
      <c r="E14" s="32">
        <f>IF('ARV Calc'!D$5,'ARV Calc'!D14,"")</f>
        <v>42845</v>
      </c>
      <c r="F14" s="32">
        <f>IF('ARV Calc'!E$5,'ARV Calc'!E14,"")</f>
        <v>42843</v>
      </c>
      <c r="G14" s="32" t="str">
        <f>IF('ARV Calc'!F$5,'ARV Calc'!F14,"")</f>
        <v/>
      </c>
      <c r="H14" s="32" t="str">
        <f>IF('ARV Calc'!G$5,'ARV Calc'!G14,"")</f>
        <v/>
      </c>
      <c r="I14" s="32">
        <f>IF('ARV Calc'!H$5,'ARV Calc'!H14,"")</f>
        <v>42794</v>
      </c>
      <c r="J14" s="45"/>
    </row>
    <row r="15" spans="1:10" x14ac:dyDescent="0.2">
      <c r="B15" s="1" t="s">
        <v>9</v>
      </c>
      <c r="C15" s="47">
        <f>IF('ARV Calc'!B$5,'ARV Calc'!B15,"")</f>
        <v>155000</v>
      </c>
      <c r="D15" s="33">
        <f>IF('ARV Calc'!C$5,'ARV Calc'!C15,"")</f>
        <v>157500</v>
      </c>
      <c r="E15" s="33">
        <f>IF('ARV Calc'!D$5,'ARV Calc'!D15,"")</f>
        <v>180000</v>
      </c>
      <c r="F15" s="33">
        <f>IF('ARV Calc'!E$5,'ARV Calc'!E15,"")</f>
        <v>155000</v>
      </c>
      <c r="G15" s="33" t="str">
        <f>IF('ARV Calc'!F$5,'ARV Calc'!F15,"")</f>
        <v/>
      </c>
      <c r="H15" s="33" t="str">
        <f>IF('ARV Calc'!G$5,'ARV Calc'!G15,"")</f>
        <v/>
      </c>
      <c r="I15" s="33">
        <f>IF('ARV Calc'!H$5,'ARV Calc'!H15,"")</f>
        <v>187000</v>
      </c>
      <c r="J15" s="48">
        <f t="shared" ref="J15:J16" si="1">AVERAGE(C15:I15)</f>
        <v>166900</v>
      </c>
    </row>
    <row r="16" spans="1:10" ht="17" thickBot="1" x14ac:dyDescent="0.25">
      <c r="B16" s="1" t="s">
        <v>7</v>
      </c>
      <c r="C16" s="49">
        <f>IF('ARV Calc'!B$5,'ARV Calc'!B16,"")</f>
        <v>131.35593220338984</v>
      </c>
      <c r="D16" s="50">
        <f>IF('ARV Calc'!C$5,'ARV Calc'!C16,"")</f>
        <v>123.14308053166536</v>
      </c>
      <c r="E16" s="50">
        <f>IF('ARV Calc'!D$5,'ARV Calc'!D16,"")</f>
        <v>113.99620012666244</v>
      </c>
      <c r="F16" s="50">
        <f>IF('ARV Calc'!E$5,'ARV Calc'!E16,"")</f>
        <v>139.01345291479819</v>
      </c>
      <c r="G16" s="50" t="str">
        <f>IF('ARV Calc'!F$5,'ARV Calc'!F16,"")</f>
        <v/>
      </c>
      <c r="H16" s="50" t="str">
        <f>IF('ARV Calc'!G$5,'ARV Calc'!G16,"")</f>
        <v/>
      </c>
      <c r="I16" s="50">
        <f>IF('ARV Calc'!H$5,'ARV Calc'!H16,"")</f>
        <v>106.00907029478458</v>
      </c>
      <c r="J16" s="133">
        <f t="shared" si="1"/>
        <v>122.70354721426008</v>
      </c>
    </row>
    <row r="18" spans="3:10" ht="17" thickBot="1" x14ac:dyDescent="0.25"/>
    <row r="19" spans="3:10" x14ac:dyDescent="0.2">
      <c r="I19" s="54" t="s">
        <v>126</v>
      </c>
      <c r="J19" s="55" t="s">
        <v>18</v>
      </c>
    </row>
    <row r="20" spans="3:10" x14ac:dyDescent="0.2">
      <c r="I20" s="56" t="s">
        <v>26</v>
      </c>
      <c r="J20" s="57">
        <f>SUM('Rehab Estimator'!E2:E4)</f>
        <v>0</v>
      </c>
    </row>
    <row r="21" spans="3:10" x14ac:dyDescent="0.2">
      <c r="C21" s="21" t="s">
        <v>231</v>
      </c>
      <c r="D21" s="27">
        <f>'ARV Calc'!L17</f>
        <v>177920.14346067712</v>
      </c>
      <c r="E21" s="62" t="str">
        <f>"(est $ "&amp;ROUND(D21/B7,0)&amp;" psf)"</f>
        <v>(est $ 123 psf)</v>
      </c>
      <c r="F21" s="30" t="s">
        <v>134</v>
      </c>
      <c r="G21" s="31">
        <f>D21*0.7-J34</f>
        <v>96599.100422473974</v>
      </c>
      <c r="I21" s="56" t="s">
        <v>128</v>
      </c>
      <c r="J21" s="57">
        <f>SUM('Rehab Estimator'!E5:E7)</f>
        <v>2500</v>
      </c>
    </row>
    <row r="22" spans="3:10" x14ac:dyDescent="0.2">
      <c r="C22" s="25" t="s">
        <v>137</v>
      </c>
      <c r="D22" s="28">
        <f>-G23</f>
        <v>-126599.10042247397</v>
      </c>
      <c r="E22" s="62"/>
      <c r="F22" s="25" t="s">
        <v>188</v>
      </c>
      <c r="G22" s="180">
        <v>30000</v>
      </c>
      <c r="I22" s="56" t="s">
        <v>38</v>
      </c>
      <c r="J22" s="57">
        <f>SUM('Rehab Estimator'!E8:E14)</f>
        <v>500</v>
      </c>
    </row>
    <row r="23" spans="3:10" x14ac:dyDescent="0.2">
      <c r="C23" s="21" t="s">
        <v>135</v>
      </c>
      <c r="D23" s="29">
        <f>D21+D22</f>
        <v>51321.043038203148</v>
      </c>
      <c r="E23" s="62"/>
      <c r="F23" s="21" t="s">
        <v>136</v>
      </c>
      <c r="G23" s="27">
        <f>SUM(G21:G22)</f>
        <v>126599.10042247397</v>
      </c>
      <c r="I23" s="56" t="s">
        <v>51</v>
      </c>
      <c r="J23" s="57">
        <f>SUM('Rehab Estimator'!E15:E35)</f>
        <v>3050</v>
      </c>
    </row>
    <row r="24" spans="3:10" x14ac:dyDescent="0.2">
      <c r="D24" s="23"/>
      <c r="I24" s="56" t="s">
        <v>80</v>
      </c>
      <c r="J24" s="57">
        <f>SUM('Rehab Estimator'!E36:E50)</f>
        <v>11500</v>
      </c>
    </row>
    <row r="25" spans="3:10" x14ac:dyDescent="0.2">
      <c r="C25" s="21" t="s">
        <v>213</v>
      </c>
      <c r="D25" s="66">
        <f>D23/G23</f>
        <v>0.40538236738602129</v>
      </c>
      <c r="I25" s="56" t="s">
        <v>129</v>
      </c>
      <c r="J25" s="57">
        <f>SUM('Rehab Estimator'!I2:O6)</f>
        <v>1250</v>
      </c>
    </row>
    <row r="26" spans="3:10" x14ac:dyDescent="0.2">
      <c r="I26" s="56" t="s">
        <v>130</v>
      </c>
      <c r="J26" s="57">
        <f>SUM('Rehab Estimator'!I7:O9)</f>
        <v>1000</v>
      </c>
    </row>
    <row r="27" spans="3:10" x14ac:dyDescent="0.2">
      <c r="I27" s="56" t="s">
        <v>131</v>
      </c>
      <c r="J27" s="57">
        <f>SUM('Rehab Estimator'!I10:O11)</f>
        <v>1000</v>
      </c>
    </row>
    <row r="28" spans="3:10" x14ac:dyDescent="0.2">
      <c r="I28" s="56" t="s">
        <v>132</v>
      </c>
      <c r="J28" s="57">
        <f>SUM('Rehab Estimator'!I12:O13)</f>
        <v>0</v>
      </c>
    </row>
    <row r="29" spans="3:10" x14ac:dyDescent="0.2">
      <c r="I29" s="56" t="s">
        <v>50</v>
      </c>
      <c r="J29" s="57">
        <f>SUM('Rehab Estimator'!I14:O14)</f>
        <v>0</v>
      </c>
    </row>
    <row r="30" spans="3:10" x14ac:dyDescent="0.2">
      <c r="I30" s="56" t="s">
        <v>133</v>
      </c>
      <c r="J30" s="57">
        <f>SUM('Rehab Estimator'!I15:O15)</f>
        <v>0</v>
      </c>
    </row>
    <row r="31" spans="3:10" x14ac:dyDescent="0.2">
      <c r="I31" s="56" t="s">
        <v>55</v>
      </c>
      <c r="J31" s="57">
        <f>SUM('Rehab Estimator'!I16:O16)</f>
        <v>0</v>
      </c>
    </row>
    <row r="32" spans="3:10" x14ac:dyDescent="0.2">
      <c r="I32" s="56" t="s">
        <v>179</v>
      </c>
      <c r="J32" s="57">
        <f>'Rehab Estimator'!O28-'Rehab Estimator'!O24</f>
        <v>3644.9999999999964</v>
      </c>
    </row>
    <row r="33" spans="9:10" x14ac:dyDescent="0.2">
      <c r="I33" s="58" t="s">
        <v>93</v>
      </c>
      <c r="J33" s="59">
        <f>SUM('Rehab Estimator'!I17:O19,'Rehab Estimator'!E51:E63)</f>
        <v>3500</v>
      </c>
    </row>
    <row r="34" spans="9:10" ht="17" thickBot="1" x14ac:dyDescent="0.25">
      <c r="I34" s="60" t="s">
        <v>116</v>
      </c>
      <c r="J34" s="61">
        <f>SUM(J20:J33)</f>
        <v>27944.999999999996</v>
      </c>
    </row>
  </sheetData>
  <mergeCells count="1">
    <mergeCell ref="C3:I3"/>
  </mergeCells>
  <phoneticPr fontId="12" type="noConversion"/>
  <pageMargins left="0.75" right="0.75" top="1" bottom="1" header="0.5" footer="0.5"/>
  <pageSetup scale="55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</sheetPr>
  <dimension ref="A2:J34"/>
  <sheetViews>
    <sheetView showGridLines="0" zoomScale="145" zoomScaleNormal="145" zoomScalePageLayoutView="145" workbookViewId="0">
      <selection activeCell="E31" sqref="E31"/>
    </sheetView>
  </sheetViews>
  <sheetFormatPr baseColWidth="10" defaultRowHeight="16" x14ac:dyDescent="0.2"/>
  <cols>
    <col min="1" max="1" width="17.1640625" customWidth="1"/>
    <col min="2" max="2" width="21.6640625" bestFit="1" customWidth="1"/>
    <col min="3" max="3" width="26.1640625" bestFit="1" customWidth="1"/>
    <col min="4" max="4" width="16.83203125" bestFit="1" customWidth="1"/>
    <col min="5" max="5" width="13.33203125" customWidth="1"/>
    <col min="6" max="6" width="16.83203125" bestFit="1" customWidth="1"/>
    <col min="7" max="7" width="15.6640625" bestFit="1" customWidth="1"/>
    <col min="8" max="8" width="17.6640625" bestFit="1" customWidth="1"/>
    <col min="9" max="9" width="20.1640625" bestFit="1" customWidth="1"/>
    <col min="10" max="10" width="24.33203125" bestFit="1" customWidth="1"/>
    <col min="11" max="11" width="1.1640625" customWidth="1"/>
  </cols>
  <sheetData>
    <row r="2" spans="1:10" ht="17" thickBot="1" x14ac:dyDescent="0.25"/>
    <row r="3" spans="1:10" ht="17" thickBot="1" x14ac:dyDescent="0.25">
      <c r="C3" s="206" t="s">
        <v>125</v>
      </c>
      <c r="D3" s="207"/>
      <c r="E3" s="207"/>
      <c r="F3" s="207"/>
      <c r="G3" s="207"/>
      <c r="H3" s="207"/>
      <c r="I3" s="207"/>
      <c r="J3" s="34"/>
    </row>
    <row r="4" spans="1:10" x14ac:dyDescent="0.2">
      <c r="B4" s="51" t="s">
        <v>138</v>
      </c>
      <c r="C4" s="35" t="s">
        <v>107</v>
      </c>
      <c r="D4" s="36" t="s">
        <v>108</v>
      </c>
      <c r="E4" s="36" t="s">
        <v>109</v>
      </c>
      <c r="F4" s="36" t="s">
        <v>110</v>
      </c>
      <c r="G4" s="36" t="s">
        <v>111</v>
      </c>
      <c r="H4" s="36" t="s">
        <v>112</v>
      </c>
      <c r="I4" s="36" t="s">
        <v>113</v>
      </c>
      <c r="J4" s="37"/>
    </row>
    <row r="5" spans="1:10" x14ac:dyDescent="0.2">
      <c r="B5" s="171" t="str">
        <f>'Flip Investor - 70% Rule'!B5</f>
        <v>1565 Yellow Rose St</v>
      </c>
      <c r="C5" s="38" t="str">
        <f>IF('ARV Calc'!B$5,'ARV Calc'!B4,"")</f>
        <v>1749 Yellow Rose St</v>
      </c>
      <c r="D5" s="26" t="str">
        <f>IF('ARV Calc'!C$5,'ARV Calc'!C4,"")</f>
        <v>1809 Ann Greta Dr</v>
      </c>
      <c r="E5" s="26" t="str">
        <f>IF('ARV Calc'!D$5,'ARV Calc'!D4,"")</f>
        <v>1917 Ann Greta Dr</v>
      </c>
      <c r="F5" s="26" t="str">
        <f>IF('ARV Calc'!E$5,'ARV Calc'!E4,"")</f>
        <v>1937 Saint Lawrence Dr</v>
      </c>
      <c r="G5" s="26" t="str">
        <f>IF('ARV Calc'!F$5,'ARV Calc'!F4,"")</f>
        <v/>
      </c>
      <c r="H5" s="26" t="str">
        <f>IF('ARV Calc'!G$5,'ARV Calc'!G4,"")</f>
        <v/>
      </c>
      <c r="I5" s="26" t="str">
        <f>IF('ARV Calc'!H$5,'ARV Calc'!H4,"")</f>
        <v>1612 Bluestone Dr</v>
      </c>
      <c r="J5" s="39"/>
    </row>
    <row r="6" spans="1:10" x14ac:dyDescent="0.2">
      <c r="A6" s="1"/>
      <c r="B6" s="172"/>
      <c r="C6" s="40"/>
      <c r="D6" s="41"/>
      <c r="E6" s="41"/>
      <c r="F6" s="41"/>
      <c r="G6" s="41"/>
      <c r="H6" s="41"/>
      <c r="I6" s="41"/>
      <c r="J6" s="42" t="s">
        <v>139</v>
      </c>
    </row>
    <row r="7" spans="1:10" x14ac:dyDescent="0.2">
      <c r="A7" s="1" t="s">
        <v>2</v>
      </c>
      <c r="B7" s="171">
        <f>'Flip Investor - 70% Rule'!B7</f>
        <v>1450</v>
      </c>
      <c r="C7" s="38">
        <f>IF('ARV Calc'!B$5,'ARV Calc'!B7,"")</f>
        <v>1180</v>
      </c>
      <c r="D7" s="26">
        <f>IF('ARV Calc'!C$5,'ARV Calc'!C7,"")</f>
        <v>1279</v>
      </c>
      <c r="E7" s="26">
        <f>IF('ARV Calc'!D$5,'ARV Calc'!D7,"")</f>
        <v>1579</v>
      </c>
      <c r="F7" s="26">
        <f>IF('ARV Calc'!E$5,'ARV Calc'!E7,"")</f>
        <v>1115</v>
      </c>
      <c r="G7" s="26" t="str">
        <f>IF('ARV Calc'!F$5,'ARV Calc'!F7,"")</f>
        <v/>
      </c>
      <c r="H7" s="26" t="str">
        <f>IF('ARV Calc'!G$5,'ARV Calc'!G7,"")</f>
        <v/>
      </c>
      <c r="I7" s="26">
        <f>IF('ARV Calc'!H$5,'ARV Calc'!H7,"")</f>
        <v>1764</v>
      </c>
      <c r="J7" s="43">
        <f>AVERAGE(C7:I7)</f>
        <v>1383.4</v>
      </c>
    </row>
    <row r="8" spans="1:10" x14ac:dyDescent="0.2">
      <c r="A8" s="1" t="s">
        <v>3</v>
      </c>
      <c r="B8" s="171">
        <f>'Flip Investor - 70% Rule'!B8</f>
        <v>3</v>
      </c>
      <c r="C8" s="38">
        <f>IF('ARV Calc'!B$5,'ARV Calc'!B8,"")</f>
        <v>3</v>
      </c>
      <c r="D8" s="26">
        <f>IF('ARV Calc'!C$5,'ARV Calc'!C8,"")</f>
        <v>3</v>
      </c>
      <c r="E8" s="26">
        <f>IF('ARV Calc'!D$5,'ARV Calc'!D8,"")</f>
        <v>3</v>
      </c>
      <c r="F8" s="26">
        <f>IF('ARV Calc'!E$5,'ARV Calc'!E8,"")</f>
        <v>3</v>
      </c>
      <c r="G8" s="26" t="str">
        <f>IF('ARV Calc'!F$5,'ARV Calc'!F8,"")</f>
        <v/>
      </c>
      <c r="H8" s="26" t="str">
        <f>IF('ARV Calc'!G$5,'ARV Calc'!G8,"")</f>
        <v/>
      </c>
      <c r="I8" s="26">
        <f>IF('ARV Calc'!H$5,'ARV Calc'!H8,"")</f>
        <v>3</v>
      </c>
      <c r="J8" s="44">
        <f t="shared" ref="J8:J12" si="0">AVERAGE(C8:I8)</f>
        <v>3</v>
      </c>
    </row>
    <row r="9" spans="1:10" x14ac:dyDescent="0.2">
      <c r="A9" s="1" t="s">
        <v>4</v>
      </c>
      <c r="B9" s="171">
        <f>'Flip Investor - 70% Rule'!B9</f>
        <v>2</v>
      </c>
      <c r="C9" s="38">
        <f>IF('ARV Calc'!B$5,'ARV Calc'!B9,"")</f>
        <v>2</v>
      </c>
      <c r="D9" s="26">
        <f>IF('ARV Calc'!C$5,'ARV Calc'!C9,"")</f>
        <v>2</v>
      </c>
      <c r="E9" s="26">
        <f>IF('ARV Calc'!D$5,'ARV Calc'!D9,"")</f>
        <v>2</v>
      </c>
      <c r="F9" s="26">
        <f>IF('ARV Calc'!E$5,'ARV Calc'!E9,"")</f>
        <v>2</v>
      </c>
      <c r="G9" s="26" t="str">
        <f>IF('ARV Calc'!F$5,'ARV Calc'!F9,"")</f>
        <v/>
      </c>
      <c r="H9" s="26" t="str">
        <f>IF('ARV Calc'!G$5,'ARV Calc'!G9,"")</f>
        <v/>
      </c>
      <c r="I9" s="26">
        <f>IF('ARV Calc'!H$5,'ARV Calc'!H9,"")</f>
        <v>2</v>
      </c>
      <c r="J9" s="44">
        <f t="shared" si="0"/>
        <v>2</v>
      </c>
    </row>
    <row r="10" spans="1:10" x14ac:dyDescent="0.2">
      <c r="A10" s="1" t="s">
        <v>5</v>
      </c>
      <c r="B10" s="171">
        <f>'Flip Investor - 70% Rule'!B10</f>
        <v>6250</v>
      </c>
      <c r="C10" s="38">
        <f>IF('ARV Calc'!B$5,'ARV Calc'!B10,"")</f>
        <v>3920</v>
      </c>
      <c r="D10" s="26">
        <f>IF('ARV Calc'!C$5,'ARV Calc'!C10,"")</f>
        <v>3484</v>
      </c>
      <c r="E10" s="26">
        <f>IF('ARV Calc'!D$5,'ARV Calc'!D10,"")</f>
        <v>6534</v>
      </c>
      <c r="F10" s="26">
        <f>IF('ARV Calc'!E$5,'ARV Calc'!E10,"")</f>
        <v>3920</v>
      </c>
      <c r="G10" s="26" t="str">
        <f>IF('ARV Calc'!F$5,'ARV Calc'!F10,"")</f>
        <v/>
      </c>
      <c r="H10" s="26" t="str">
        <f>IF('ARV Calc'!G$5,'ARV Calc'!G10,"")</f>
        <v/>
      </c>
      <c r="I10" s="26">
        <f>IF('ARV Calc'!H$5,'ARV Calc'!H10,"")</f>
        <v>11325</v>
      </c>
      <c r="J10" s="43">
        <f t="shared" si="0"/>
        <v>5836.6</v>
      </c>
    </row>
    <row r="11" spans="1:10" x14ac:dyDescent="0.2">
      <c r="A11" s="1"/>
      <c r="B11" s="173"/>
      <c r="C11" s="40"/>
      <c r="D11" s="41"/>
      <c r="E11" s="41"/>
      <c r="F11" s="41"/>
      <c r="G11" s="41"/>
      <c r="H11" s="41"/>
      <c r="I11" s="41"/>
      <c r="J11" s="45"/>
    </row>
    <row r="12" spans="1:10" x14ac:dyDescent="0.2">
      <c r="A12" s="1" t="s">
        <v>6</v>
      </c>
      <c r="B12" s="171">
        <f>'Flip Investor - 70% Rule'!B12</f>
        <v>1982</v>
      </c>
      <c r="C12" s="38">
        <f>IF('ARV Calc'!B$5,'ARV Calc'!B12,"")</f>
        <v>1984</v>
      </c>
      <c r="D12" s="26">
        <f>IF('ARV Calc'!C$5,'ARV Calc'!C12,"")</f>
        <v>1986</v>
      </c>
      <c r="E12" s="26">
        <f>IF('ARV Calc'!D$5,'ARV Calc'!D12,"")</f>
        <v>1985</v>
      </c>
      <c r="F12" s="26">
        <f>IF('ARV Calc'!E$5,'ARV Calc'!E12,"")</f>
        <v>1984</v>
      </c>
      <c r="G12" s="26" t="str">
        <f>IF('ARV Calc'!F$5,'ARV Calc'!F12,"")</f>
        <v/>
      </c>
      <c r="H12" s="26" t="str">
        <f>IF('ARV Calc'!G$5,'ARV Calc'!G12,"")</f>
        <v/>
      </c>
      <c r="I12" s="26">
        <f>IF('ARV Calc'!H$5,'ARV Calc'!H12,"")</f>
        <v>1969</v>
      </c>
      <c r="J12" s="43">
        <f t="shared" si="0"/>
        <v>1981.6</v>
      </c>
    </row>
    <row r="13" spans="1:10" x14ac:dyDescent="0.2">
      <c r="A13" s="1"/>
      <c r="B13" s="1"/>
      <c r="C13" s="40"/>
      <c r="D13" s="41"/>
      <c r="E13" s="41"/>
      <c r="F13" s="41"/>
      <c r="G13" s="41"/>
      <c r="H13" s="41"/>
      <c r="I13" s="41"/>
      <c r="J13" s="45"/>
    </row>
    <row r="14" spans="1:10" x14ac:dyDescent="0.2">
      <c r="B14" s="1" t="s">
        <v>8</v>
      </c>
      <c r="C14" s="46">
        <f>IF('ARV Calc'!B$5,'ARV Calc'!B14,"")</f>
        <v>42867</v>
      </c>
      <c r="D14" s="32">
        <f>IF('ARV Calc'!C$5,'ARV Calc'!C14,"")</f>
        <v>42856</v>
      </c>
      <c r="E14" s="32">
        <f>IF('ARV Calc'!D$5,'ARV Calc'!D14,"")</f>
        <v>42845</v>
      </c>
      <c r="F14" s="32">
        <f>IF('ARV Calc'!E$5,'ARV Calc'!E14,"")</f>
        <v>42843</v>
      </c>
      <c r="G14" s="32" t="str">
        <f>IF('ARV Calc'!F$5,'ARV Calc'!F14,"")</f>
        <v/>
      </c>
      <c r="H14" s="32" t="str">
        <f>IF('ARV Calc'!G$5,'ARV Calc'!G14,"")</f>
        <v/>
      </c>
      <c r="I14" s="32">
        <f>IF('ARV Calc'!H$5,'ARV Calc'!H14,"")</f>
        <v>42794</v>
      </c>
      <c r="J14" s="45"/>
    </row>
    <row r="15" spans="1:10" x14ac:dyDescent="0.2">
      <c r="B15" s="1" t="s">
        <v>9</v>
      </c>
      <c r="C15" s="47">
        <f>IF('ARV Calc'!B$5,'ARV Calc'!B15,"")</f>
        <v>155000</v>
      </c>
      <c r="D15" s="33">
        <f>IF('ARV Calc'!C$5,'ARV Calc'!C15,"")</f>
        <v>157500</v>
      </c>
      <c r="E15" s="33">
        <f>IF('ARV Calc'!D$5,'ARV Calc'!D15,"")</f>
        <v>180000</v>
      </c>
      <c r="F15" s="33">
        <f>IF('ARV Calc'!E$5,'ARV Calc'!E15,"")</f>
        <v>155000</v>
      </c>
      <c r="G15" s="33" t="str">
        <f>IF('ARV Calc'!F$5,'ARV Calc'!F15,"")</f>
        <v/>
      </c>
      <c r="H15" s="33" t="str">
        <f>IF('ARV Calc'!G$5,'ARV Calc'!G15,"")</f>
        <v/>
      </c>
      <c r="I15" s="33">
        <f>IF('ARV Calc'!H$5,'ARV Calc'!H15,"")</f>
        <v>187000</v>
      </c>
      <c r="J15" s="48">
        <f t="shared" ref="J15:J16" si="1">AVERAGE(C15:I15)</f>
        <v>166900</v>
      </c>
    </row>
    <row r="16" spans="1:10" ht="17" thickBot="1" x14ac:dyDescent="0.25">
      <c r="B16" s="1" t="s">
        <v>7</v>
      </c>
      <c r="C16" s="49">
        <f>IF('ARV Calc'!B$5,'ARV Calc'!B16,"")</f>
        <v>131.35593220338984</v>
      </c>
      <c r="D16" s="50">
        <f>IF('ARV Calc'!C$5,'ARV Calc'!C16,"")</f>
        <v>123.14308053166536</v>
      </c>
      <c r="E16" s="50">
        <f>IF('ARV Calc'!D$5,'ARV Calc'!D16,"")</f>
        <v>113.99620012666244</v>
      </c>
      <c r="F16" s="50">
        <f>IF('ARV Calc'!E$5,'ARV Calc'!E16,"")</f>
        <v>139.01345291479819</v>
      </c>
      <c r="G16" s="50" t="str">
        <f>IF('ARV Calc'!F$5,'ARV Calc'!F16,"")</f>
        <v/>
      </c>
      <c r="H16" s="50" t="str">
        <f>IF('ARV Calc'!G$5,'ARV Calc'!G16,"")</f>
        <v/>
      </c>
      <c r="I16" s="50">
        <f>IF('ARV Calc'!H$5,'ARV Calc'!H16,"")</f>
        <v>106.00907029478458</v>
      </c>
      <c r="J16" s="133">
        <f t="shared" si="1"/>
        <v>122.70354721426008</v>
      </c>
    </row>
    <row r="18" spans="3:10" ht="17" thickBot="1" x14ac:dyDescent="0.25"/>
    <row r="19" spans="3:10" x14ac:dyDescent="0.2">
      <c r="I19" s="54" t="s">
        <v>126</v>
      </c>
      <c r="J19" s="55" t="s">
        <v>18</v>
      </c>
    </row>
    <row r="20" spans="3:10" x14ac:dyDescent="0.2">
      <c r="I20" s="56" t="s">
        <v>26</v>
      </c>
      <c r="J20" s="57">
        <f>SUM('Rehab Estimator'!E2:E4)</f>
        <v>0</v>
      </c>
    </row>
    <row r="21" spans="3:10" x14ac:dyDescent="0.2">
      <c r="C21" s="21" t="s">
        <v>231</v>
      </c>
      <c r="D21" s="27">
        <f>'Flip Investor - 70% Rule'!D21</f>
        <v>177920.14346067712</v>
      </c>
      <c r="E21" s="62" t="str">
        <f>"(est $ "&amp;ROUND(D21/B7,0)&amp;" psf)"</f>
        <v>(est $ 123 psf)</v>
      </c>
      <c r="F21" s="30" t="s">
        <v>134</v>
      </c>
      <c r="G21" s="31">
        <f>'MAO Calc'!L12</f>
        <v>102975.14346067712</v>
      </c>
      <c r="I21" s="56" t="s">
        <v>128</v>
      </c>
      <c r="J21" s="57">
        <f>SUM('Rehab Estimator'!E5:E7)</f>
        <v>2500</v>
      </c>
    </row>
    <row r="22" spans="3:10" x14ac:dyDescent="0.2">
      <c r="C22" s="25" t="s">
        <v>137</v>
      </c>
      <c r="D22" s="28">
        <f>-G23</f>
        <v>-130920.14346067712</v>
      </c>
      <c r="E22" s="62"/>
      <c r="F22" s="25" t="s">
        <v>188</v>
      </c>
      <c r="G22" s="180">
        <f>J34</f>
        <v>27944.999999999996</v>
      </c>
      <c r="I22" s="56" t="s">
        <v>38</v>
      </c>
      <c r="J22" s="57">
        <f>SUM('Rehab Estimator'!E8:E14)</f>
        <v>500</v>
      </c>
    </row>
    <row r="23" spans="3:10" x14ac:dyDescent="0.2">
      <c r="C23" s="21" t="s">
        <v>135</v>
      </c>
      <c r="D23" s="29">
        <f>D21+D22</f>
        <v>47000</v>
      </c>
      <c r="E23" s="62"/>
      <c r="F23" s="21" t="s">
        <v>136</v>
      </c>
      <c r="G23" s="27">
        <f>SUM(G21:G22)</f>
        <v>130920.14346067712</v>
      </c>
      <c r="I23" s="56" t="s">
        <v>51</v>
      </c>
      <c r="J23" s="57">
        <f>SUM('Rehab Estimator'!E15:E35)</f>
        <v>3050</v>
      </c>
    </row>
    <row r="24" spans="3:10" x14ac:dyDescent="0.2">
      <c r="D24" s="23"/>
      <c r="I24" s="56" t="s">
        <v>80</v>
      </c>
      <c r="J24" s="57">
        <f>SUM('Rehab Estimator'!E36:E50)</f>
        <v>11500</v>
      </c>
    </row>
    <row r="25" spans="3:10" x14ac:dyDescent="0.2">
      <c r="C25" s="21" t="s">
        <v>180</v>
      </c>
      <c r="D25" s="66">
        <f>D23/G23</f>
        <v>0.35899746790391207</v>
      </c>
      <c r="I25" s="56" t="s">
        <v>129</v>
      </c>
      <c r="J25" s="57">
        <f>SUM('Rehab Estimator'!I2:O6)</f>
        <v>1250</v>
      </c>
    </row>
    <row r="26" spans="3:10" x14ac:dyDescent="0.2">
      <c r="I26" s="56" t="s">
        <v>130</v>
      </c>
      <c r="J26" s="57">
        <f>SUM('Rehab Estimator'!I7:O9)</f>
        <v>1000</v>
      </c>
    </row>
    <row r="27" spans="3:10" x14ac:dyDescent="0.2">
      <c r="I27" s="56" t="s">
        <v>131</v>
      </c>
      <c r="J27" s="57">
        <f>SUM('Rehab Estimator'!I10:O11)</f>
        <v>1000</v>
      </c>
    </row>
    <row r="28" spans="3:10" x14ac:dyDescent="0.2">
      <c r="I28" s="56" t="s">
        <v>132</v>
      </c>
      <c r="J28" s="57">
        <f>SUM('Rehab Estimator'!I12:O13)</f>
        <v>0</v>
      </c>
    </row>
    <row r="29" spans="3:10" x14ac:dyDescent="0.2">
      <c r="I29" s="56" t="s">
        <v>50</v>
      </c>
      <c r="J29" s="57">
        <f>SUM('Rehab Estimator'!I14:O14)</f>
        <v>0</v>
      </c>
    </row>
    <row r="30" spans="3:10" x14ac:dyDescent="0.2">
      <c r="I30" s="56" t="s">
        <v>133</v>
      </c>
      <c r="J30" s="57">
        <f>SUM('Rehab Estimator'!I15:O15)</f>
        <v>0</v>
      </c>
    </row>
    <row r="31" spans="3:10" x14ac:dyDescent="0.2">
      <c r="I31" s="56" t="s">
        <v>55</v>
      </c>
      <c r="J31" s="57">
        <f>SUM('Rehab Estimator'!I16:O16)</f>
        <v>0</v>
      </c>
    </row>
    <row r="32" spans="3:10" x14ac:dyDescent="0.2">
      <c r="I32" s="56" t="s">
        <v>179</v>
      </c>
      <c r="J32" s="57">
        <f>'Rehab Estimator'!O28-'Rehab Estimator'!O24</f>
        <v>3644.9999999999964</v>
      </c>
    </row>
    <row r="33" spans="9:10" x14ac:dyDescent="0.2">
      <c r="I33" s="58" t="s">
        <v>93</v>
      </c>
      <c r="J33" s="59">
        <f>SUM('Rehab Estimator'!I17:O19,'Rehab Estimator'!E51:E63)</f>
        <v>3500</v>
      </c>
    </row>
    <row r="34" spans="9:10" ht="17" thickBot="1" x14ac:dyDescent="0.25">
      <c r="I34" s="60" t="s">
        <v>116</v>
      </c>
      <c r="J34" s="61">
        <f>SUM(J20:J33)</f>
        <v>27944.999999999996</v>
      </c>
    </row>
  </sheetData>
  <mergeCells count="1">
    <mergeCell ref="C3:I3"/>
  </mergeCells>
  <phoneticPr fontId="12" type="noConversion"/>
  <pageMargins left="0.75" right="0.75" top="1" bottom="1" header="0.5" footer="0.5"/>
  <pageSetup scale="55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59999389629810485"/>
  </sheetPr>
  <dimension ref="B1:AA64"/>
  <sheetViews>
    <sheetView showGridLines="0" topLeftCell="A37" zoomScale="130" zoomScaleNormal="130" zoomScalePageLayoutView="130" workbookViewId="0">
      <selection activeCell="I73" sqref="I73"/>
    </sheetView>
  </sheetViews>
  <sheetFormatPr baseColWidth="10" defaultRowHeight="16" x14ac:dyDescent="0.2"/>
  <cols>
    <col min="1" max="1" width="2.1640625" style="2" customWidth="1"/>
    <col min="2" max="2" width="21.1640625" style="2" customWidth="1"/>
    <col min="3" max="4" width="20.6640625" style="2" bestFit="1" customWidth="1"/>
    <col min="5" max="5" width="14.5" style="2" bestFit="1" customWidth="1"/>
    <col min="6" max="6" width="21.6640625" style="2" bestFit="1" customWidth="1"/>
    <col min="7" max="7" width="15.33203125" style="2" bestFit="1" customWidth="1"/>
    <col min="8" max="8" width="14.6640625" style="2" bestFit="1" customWidth="1"/>
    <col min="9" max="9" width="21" style="2" bestFit="1" customWidth="1"/>
    <col min="10" max="10" width="21.6640625" style="2" bestFit="1" customWidth="1"/>
    <col min="11" max="11" width="16.83203125" style="2" bestFit="1" customWidth="1"/>
    <col min="12" max="16384" width="10.83203125" style="2"/>
  </cols>
  <sheetData>
    <row r="1" spans="2:27" ht="8" customHeight="1" thickBot="1" x14ac:dyDescent="0.25"/>
    <row r="2" spans="2:27" s="3" customFormat="1" ht="17" thickBot="1" x14ac:dyDescent="0.25">
      <c r="B2" s="69"/>
      <c r="C2" s="77"/>
      <c r="D2" s="208" t="s">
        <v>13</v>
      </c>
      <c r="E2" s="209"/>
      <c r="F2" s="209"/>
      <c r="G2" s="209"/>
      <c r="H2" s="209"/>
      <c r="I2" s="209"/>
      <c r="J2" s="209"/>
      <c r="K2" s="34"/>
      <c r="L2" s="2"/>
    </row>
    <row r="3" spans="2:27" s="3" customFormat="1" x14ac:dyDescent="0.2">
      <c r="B3" s="70"/>
      <c r="C3" s="51" t="s">
        <v>138</v>
      </c>
      <c r="D3" s="35" t="s">
        <v>107</v>
      </c>
      <c r="E3" s="36" t="s">
        <v>108</v>
      </c>
      <c r="F3" s="36" t="s">
        <v>109</v>
      </c>
      <c r="G3" s="36" t="s">
        <v>110</v>
      </c>
      <c r="H3" s="36" t="s">
        <v>111</v>
      </c>
      <c r="I3" s="36" t="s">
        <v>112</v>
      </c>
      <c r="J3" s="36" t="s">
        <v>113</v>
      </c>
      <c r="K3" s="37"/>
      <c r="L3" s="2"/>
    </row>
    <row r="4" spans="2:27" s="3" customFormat="1" x14ac:dyDescent="0.2">
      <c r="B4" s="70"/>
      <c r="C4" s="171" t="str">
        <f>'Flip Investor -Fixed Costs'!B5</f>
        <v>1565 Yellow Rose St</v>
      </c>
      <c r="D4" s="75" t="str">
        <f>IF('ARV Calc'!B$27=1,'ARV Calc'!B26,"")</f>
        <v>3419 Amethyst Glen Ct</v>
      </c>
      <c r="E4" s="68" t="str">
        <f>IF('ARV Calc'!C$27=1,'ARV Calc'!C26,"")</f>
        <v>Spyglass Ln</v>
      </c>
      <c r="F4" s="68" t="str">
        <f>IF('ARV Calc'!D$27=1,'ARV Calc'!D26,"")</f>
        <v>1209 W Van Buren Ave</v>
      </c>
      <c r="G4" s="68" t="str">
        <f>IF('ARV Calc'!E$27=1,'ARV Calc'!E26,"")</f>
        <v>6700 Silver Spoon Dr</v>
      </c>
      <c r="H4" s="68" t="str">
        <f>IF('ARV Calc'!F$27=1,'ARV Calc'!F26,"")</f>
        <v/>
      </c>
      <c r="I4" s="68" t="str">
        <f>IF('ARV Calc'!G$27=1,'ARV Calc'!G26,"")</f>
        <v>1612 Ludwig Dr</v>
      </c>
      <c r="J4" s="68">
        <f>IF('ARV Calc'!H$27=1,'ARV Calc'!H26,"")</f>
        <v>6520</v>
      </c>
      <c r="K4" s="39"/>
      <c r="L4" s="2"/>
    </row>
    <row r="5" spans="2:27" s="3" customFormat="1" x14ac:dyDescent="0.2">
      <c r="B5" s="70"/>
      <c r="C5" s="172"/>
      <c r="D5" s="76"/>
      <c r="E5" s="73"/>
      <c r="F5" s="73"/>
      <c r="G5" s="73"/>
      <c r="H5" s="73"/>
      <c r="I5" s="73"/>
      <c r="J5" s="73"/>
      <c r="K5" s="71" t="s">
        <v>14</v>
      </c>
      <c r="L5" s="2"/>
    </row>
    <row r="6" spans="2:27" s="3" customFormat="1" x14ac:dyDescent="0.2">
      <c r="B6" s="70" t="s">
        <v>2</v>
      </c>
      <c r="C6" s="171">
        <f>'Flip Investor -Fixed Costs'!B7</f>
        <v>1450</v>
      </c>
      <c r="D6" s="75">
        <f>IF('ARV Calc'!B$27=1,'ARV Calc'!B29,"")</f>
        <v>1250</v>
      </c>
      <c r="E6" s="68">
        <f>IF('ARV Calc'!C$27=1,'ARV Calc'!C29,"")</f>
        <v>1602</v>
      </c>
      <c r="F6" s="68">
        <f>IF('ARV Calc'!D$27=1,'ARV Calc'!D29,"")</f>
        <v>1280</v>
      </c>
      <c r="G6" s="68">
        <f>IF('ARV Calc'!E$27=1,'ARV Calc'!E29,"")</f>
        <v>1249</v>
      </c>
      <c r="H6" s="68" t="str">
        <f>IF('ARV Calc'!F$27=1,'ARV Calc'!F29,"")</f>
        <v/>
      </c>
      <c r="I6" s="68">
        <f>IF('ARV Calc'!G$27=1,'ARV Calc'!G29,"")</f>
        <v>1358</v>
      </c>
      <c r="J6" s="68">
        <f>IF('ARV Calc'!H$27=1,'ARV Calc'!H29,"")</f>
        <v>1468</v>
      </c>
      <c r="K6" s="74">
        <f>AVERAGE(D6:J6)</f>
        <v>1367.8333333333333</v>
      </c>
      <c r="L6" s="2"/>
    </row>
    <row r="7" spans="2:27" s="3" customFormat="1" x14ac:dyDescent="0.2">
      <c r="B7" s="70" t="s">
        <v>3</v>
      </c>
      <c r="C7" s="171">
        <f>'Flip Investor -Fixed Costs'!B8</f>
        <v>3</v>
      </c>
      <c r="D7" s="75">
        <f>IF('ARV Calc'!B$27=1,'ARV Calc'!B30,"")</f>
        <v>3</v>
      </c>
      <c r="E7" s="68">
        <f>IF('ARV Calc'!C$27=1,'ARV Calc'!C30,"")</f>
        <v>3</v>
      </c>
      <c r="F7" s="68">
        <f>IF('ARV Calc'!D$27=1,'ARV Calc'!D30,"")</f>
        <v>3</v>
      </c>
      <c r="G7" s="68">
        <f>IF('ARV Calc'!E$27=1,'ARV Calc'!E30,"")</f>
        <v>3</v>
      </c>
      <c r="H7" s="68" t="str">
        <f>IF('ARV Calc'!F$27=1,'ARV Calc'!F30,"")</f>
        <v/>
      </c>
      <c r="I7" s="68">
        <f>IF('ARV Calc'!G$27=1,'ARV Calc'!G30,"")</f>
        <v>3</v>
      </c>
      <c r="J7" s="68">
        <f>IF('ARV Calc'!H$27=1,'ARV Calc'!H30,"")</f>
        <v>3</v>
      </c>
      <c r="K7" s="74">
        <f t="shared" ref="K7:K9" si="0">AVERAGE(D7:J7)</f>
        <v>3</v>
      </c>
      <c r="L7" s="2"/>
    </row>
    <row r="8" spans="2:27" s="3" customFormat="1" x14ac:dyDescent="0.2">
      <c r="B8" s="70" t="s">
        <v>4</v>
      </c>
      <c r="C8" s="171">
        <f>'Flip Investor -Fixed Costs'!B9</f>
        <v>2</v>
      </c>
      <c r="D8" s="75">
        <f>IF('ARV Calc'!B$27=1,'ARV Calc'!B31,"")</f>
        <v>2</v>
      </c>
      <c r="E8" s="68">
        <f>IF('ARV Calc'!C$27=1,'ARV Calc'!C31,"")</f>
        <v>2</v>
      </c>
      <c r="F8" s="68">
        <f>IF('ARV Calc'!D$27=1,'ARV Calc'!D31,"")</f>
        <v>2</v>
      </c>
      <c r="G8" s="68">
        <f>IF('ARV Calc'!E$27=1,'ARV Calc'!E31,"")</f>
        <v>2</v>
      </c>
      <c r="H8" s="68" t="str">
        <f>IF('ARV Calc'!F$27=1,'ARV Calc'!F31,"")</f>
        <v/>
      </c>
      <c r="I8" s="68">
        <f>IF('ARV Calc'!G$27=1,'ARV Calc'!G31,"")</f>
        <v>2</v>
      </c>
      <c r="J8" s="68">
        <f>IF('ARV Calc'!H$27=1,'ARV Calc'!H31,"")</f>
        <v>2</v>
      </c>
      <c r="K8" s="74">
        <f t="shared" si="0"/>
        <v>2</v>
      </c>
      <c r="L8" s="2"/>
    </row>
    <row r="9" spans="2:27" s="3" customFormat="1" ht="17" thickBot="1" x14ac:dyDescent="0.25">
      <c r="B9" s="70" t="s">
        <v>217</v>
      </c>
      <c r="C9" s="181">
        <v>49</v>
      </c>
      <c r="D9" s="146">
        <f>IF('ARV Calc'!B$27=1,'ARV Calc'!B32,"")</f>
        <v>49</v>
      </c>
      <c r="E9" s="147">
        <f>IF('ARV Calc'!C$27=1,'ARV Calc'!C32,"")</f>
        <v>0</v>
      </c>
      <c r="F9" s="147">
        <f>IF('ARV Calc'!D$27=1,'ARV Calc'!D32,"")</f>
        <v>0</v>
      </c>
      <c r="G9" s="147">
        <f>IF('ARV Calc'!E$27=1,'ARV Calc'!E32,"")</f>
        <v>13</v>
      </c>
      <c r="H9" s="147" t="str">
        <f>IF('ARV Calc'!F$27=1,'ARV Calc'!F32,"")</f>
        <v/>
      </c>
      <c r="I9" s="147">
        <f>IF('ARV Calc'!G$27=1,'ARV Calc'!G32,"")</f>
        <v>0</v>
      </c>
      <c r="J9" s="147">
        <f>IF('ARV Calc'!H$27=1,'ARV Calc'!H32,"")</f>
        <v>49</v>
      </c>
      <c r="K9" s="148">
        <f t="shared" si="0"/>
        <v>18.5</v>
      </c>
      <c r="L9" s="2"/>
    </row>
    <row r="10" spans="2:27" s="3" customFormat="1" x14ac:dyDescent="0.2">
      <c r="B10" s="142"/>
      <c r="C10" s="141"/>
      <c r="D10" s="17"/>
      <c r="E10" s="17"/>
      <c r="F10" s="17"/>
      <c r="G10" s="17"/>
      <c r="H10" s="17"/>
      <c r="I10" s="17"/>
      <c r="J10" s="17"/>
      <c r="K10" s="37"/>
      <c r="L10" s="2"/>
    </row>
    <row r="11" spans="2:27" s="3" customFormat="1" x14ac:dyDescent="0.2">
      <c r="B11" s="70"/>
      <c r="C11" s="140" t="s">
        <v>15</v>
      </c>
      <c r="D11" s="143">
        <f>IF('ARV Calc'!B$27=1,'ARV Calc'!B34,"")</f>
        <v>995</v>
      </c>
      <c r="E11" s="143">
        <f>IF('ARV Calc'!C$27=1,'ARV Calc'!C34,"")</f>
        <v>1200</v>
      </c>
      <c r="F11" s="143">
        <f>IF('ARV Calc'!D$27=1,'ARV Calc'!D34,"")</f>
        <v>925</v>
      </c>
      <c r="G11" s="143">
        <f>IF('ARV Calc'!E$27=1,'ARV Calc'!E34,"")</f>
        <v>1095</v>
      </c>
      <c r="H11" s="143" t="str">
        <f>IF('ARV Calc'!F$27=1,'ARV Calc'!F34,"")</f>
        <v/>
      </c>
      <c r="I11" s="143">
        <f>IF('ARV Calc'!G$27=1,'ARV Calc'!G34,"")</f>
        <v>1095</v>
      </c>
      <c r="J11" s="143">
        <f>IF('ARV Calc'!H$27=1,'ARV Calc'!H34,"")</f>
        <v>1195</v>
      </c>
      <c r="K11" s="144">
        <f>AVERAGE(D11:J11)</f>
        <v>1084.1666666666667</v>
      </c>
      <c r="L11" s="2"/>
    </row>
    <row r="12" spans="2:27" s="3" customFormat="1" ht="17" thickBot="1" x14ac:dyDescent="0.25">
      <c r="B12" s="72"/>
      <c r="C12" s="79" t="s">
        <v>218</v>
      </c>
      <c r="D12" s="182">
        <f>IFERROR(D11/D6,"")</f>
        <v>0.79600000000000004</v>
      </c>
      <c r="E12" s="182">
        <f t="shared" ref="E12:J12" si="1">IFERROR(E11/E6,"")</f>
        <v>0.74906367041198507</v>
      </c>
      <c r="F12" s="182">
        <f t="shared" si="1"/>
        <v>0.72265625</v>
      </c>
      <c r="G12" s="182">
        <f t="shared" si="1"/>
        <v>0.87670136108887109</v>
      </c>
      <c r="H12" s="182" t="str">
        <f t="shared" si="1"/>
        <v/>
      </c>
      <c r="I12" s="182">
        <f t="shared" si="1"/>
        <v>0.80633284241531666</v>
      </c>
      <c r="J12" s="182">
        <f t="shared" si="1"/>
        <v>0.81403269754768393</v>
      </c>
      <c r="K12" s="183">
        <f t="shared" ref="K12" si="2">K11/K6</f>
        <v>0.79261605946143543</v>
      </c>
      <c r="L12" s="2"/>
    </row>
    <row r="13" spans="2:27" ht="17" thickBot="1" x14ac:dyDescent="0.25"/>
    <row r="14" spans="2:27" x14ac:dyDescent="0.2">
      <c r="B14" s="80" t="s">
        <v>140</v>
      </c>
      <c r="C14" s="81"/>
      <c r="D14" s="81"/>
      <c r="E14" s="81"/>
      <c r="F14" s="81"/>
      <c r="G14" s="81"/>
      <c r="H14" s="81"/>
      <c r="I14" s="81"/>
      <c r="J14" s="81"/>
      <c r="K14" s="34"/>
      <c r="AA14" s="63"/>
    </row>
    <row r="15" spans="2:27" x14ac:dyDescent="0.2">
      <c r="B15" s="82" t="s">
        <v>143</v>
      </c>
      <c r="C15" s="83">
        <v>1050</v>
      </c>
      <c r="D15" s="149" t="str">
        <f>"Estimated $"&amp;ROUND(C15/C6,2)&amp;" psf"</f>
        <v>Estimated $0.72 psf</v>
      </c>
      <c r="E15" s="17"/>
      <c r="F15" s="17"/>
      <c r="G15" s="17"/>
      <c r="K15" s="37"/>
    </row>
    <row r="16" spans="2:27" x14ac:dyDescent="0.2">
      <c r="B16" s="82" t="s">
        <v>145</v>
      </c>
      <c r="C16" s="84">
        <v>4</v>
      </c>
      <c r="D16" s="17" t="s">
        <v>146</v>
      </c>
      <c r="E16" s="17"/>
      <c r="F16" s="17"/>
      <c r="G16" s="17"/>
      <c r="H16" s="17"/>
      <c r="I16" s="36" t="s">
        <v>141</v>
      </c>
      <c r="J16" s="36" t="s">
        <v>142</v>
      </c>
      <c r="K16" s="37"/>
    </row>
    <row r="17" spans="2:11" x14ac:dyDescent="0.2">
      <c r="B17" s="82" t="s">
        <v>147</v>
      </c>
      <c r="C17" s="85">
        <f>1.2%*C22</f>
        <v>1275.1081255766564</v>
      </c>
      <c r="D17" s="17"/>
      <c r="E17" s="17"/>
      <c r="F17" s="17"/>
      <c r="G17" s="17"/>
      <c r="H17" s="78" t="s">
        <v>144</v>
      </c>
      <c r="I17" s="108">
        <f>IRR(C53:J53)</f>
        <v>0.11391814407864054</v>
      </c>
      <c r="J17" s="108">
        <f>IRR(C63:J63)</f>
        <v>0.17050364574510524</v>
      </c>
      <c r="K17" s="37"/>
    </row>
    <row r="18" spans="2:11" x14ac:dyDescent="0.2">
      <c r="B18" s="82" t="s">
        <v>149</v>
      </c>
      <c r="C18" s="83">
        <v>100</v>
      </c>
      <c r="D18" s="17" t="s">
        <v>150</v>
      </c>
      <c r="E18" s="17"/>
      <c r="F18" s="17"/>
      <c r="G18" s="17"/>
      <c r="H18" s="78" t="s">
        <v>183</v>
      </c>
      <c r="I18" s="109">
        <f>-AVERAGE(D53:I53)/C53</f>
        <v>6.408705357761256E-2</v>
      </c>
      <c r="J18" s="109">
        <f>-AVERAGE(D63:I63)/C63</f>
        <v>6.7148094030065594E-2</v>
      </c>
      <c r="K18" s="37"/>
    </row>
    <row r="19" spans="2:11" x14ac:dyDescent="0.2">
      <c r="B19" s="82" t="s">
        <v>151</v>
      </c>
      <c r="C19" s="86">
        <v>450</v>
      </c>
      <c r="D19" s="17" t="s">
        <v>152</v>
      </c>
      <c r="E19" s="17"/>
      <c r="F19" s="17"/>
      <c r="G19" s="17"/>
      <c r="H19" s="78" t="s">
        <v>148</v>
      </c>
      <c r="I19" s="110">
        <f>SUM(D53:J53)/(-C53)</f>
        <v>1.9483107599942655</v>
      </c>
      <c r="J19" s="110">
        <f>SUM(D63:J63)/-C63</f>
        <v>2.7138005718213489</v>
      </c>
      <c r="K19" s="37"/>
    </row>
    <row r="20" spans="2:11" x14ac:dyDescent="0.2">
      <c r="B20" s="82" t="s">
        <v>153</v>
      </c>
      <c r="C20" s="87">
        <v>50</v>
      </c>
      <c r="D20" s="17" t="s">
        <v>150</v>
      </c>
      <c r="E20" s="17"/>
      <c r="F20" s="17"/>
      <c r="G20" s="17"/>
      <c r="H20" s="17"/>
      <c r="I20" s="17"/>
      <c r="J20" s="17"/>
      <c r="K20" s="37"/>
    </row>
    <row r="21" spans="2:11" x14ac:dyDescent="0.2">
      <c r="B21" s="82"/>
      <c r="C21" s="84"/>
      <c r="D21" s="17"/>
      <c r="E21" s="17"/>
      <c r="F21" s="17"/>
      <c r="G21" s="17"/>
      <c r="H21" s="17"/>
      <c r="I21" s="17"/>
      <c r="J21" s="17"/>
      <c r="K21" s="37"/>
    </row>
    <row r="22" spans="2:11" x14ac:dyDescent="0.2">
      <c r="B22" s="82" t="s">
        <v>154</v>
      </c>
      <c r="C22" s="83">
        <f>'MAO Calc'!E25</f>
        <v>106259.01046472137</v>
      </c>
      <c r="D22" s="17"/>
      <c r="E22" s="17"/>
      <c r="F22" s="17"/>
      <c r="G22" s="17"/>
      <c r="H22" s="17"/>
      <c r="I22" s="17"/>
      <c r="J22" s="17"/>
      <c r="K22" s="37"/>
    </row>
    <row r="23" spans="2:11" x14ac:dyDescent="0.2">
      <c r="B23" s="82" t="s">
        <v>155</v>
      </c>
      <c r="C23" s="83">
        <f>C22*0.04</f>
        <v>4250.3604185888553</v>
      </c>
      <c r="D23" s="17"/>
      <c r="E23" s="17"/>
      <c r="F23" s="17"/>
      <c r="G23" s="17"/>
      <c r="H23" s="17"/>
      <c r="I23" s="17"/>
      <c r="J23" s="17"/>
      <c r="K23" s="37"/>
    </row>
    <row r="24" spans="2:11" x14ac:dyDescent="0.2">
      <c r="B24" s="82"/>
      <c r="C24" s="84"/>
      <c r="D24" s="17"/>
      <c r="E24" s="17"/>
      <c r="F24" s="17"/>
      <c r="G24" s="17"/>
      <c r="H24" s="17"/>
      <c r="I24" s="17"/>
      <c r="J24" s="17"/>
      <c r="K24" s="37"/>
    </row>
    <row r="25" spans="2:11" x14ac:dyDescent="0.2">
      <c r="B25" s="82" t="s">
        <v>156</v>
      </c>
      <c r="C25" s="88">
        <v>0.25</v>
      </c>
      <c r="D25" s="89">
        <f>C25*(C22+C23)+C30+C31</f>
        <v>60572.342720827553</v>
      </c>
      <c r="E25" s="17"/>
      <c r="F25" s="17"/>
      <c r="G25" s="17"/>
      <c r="H25" s="17"/>
      <c r="I25" s="17"/>
      <c r="J25" s="17"/>
      <c r="K25" s="37"/>
    </row>
    <row r="26" spans="2:11" x14ac:dyDescent="0.2">
      <c r="B26" s="82" t="s">
        <v>157</v>
      </c>
      <c r="C26" s="90">
        <f>SUM(C22,C23)*(1-C25)</f>
        <v>82882.028162482675</v>
      </c>
      <c r="D26" s="17"/>
      <c r="E26" s="17"/>
      <c r="F26" s="17"/>
      <c r="G26" s="17"/>
      <c r="H26" s="17"/>
      <c r="I26" s="17"/>
      <c r="J26" s="17"/>
      <c r="K26" s="37"/>
    </row>
    <row r="27" spans="2:11" x14ac:dyDescent="0.2">
      <c r="B27" s="82" t="s">
        <v>158</v>
      </c>
      <c r="C27" s="91">
        <v>4.1000000000000002E-2</v>
      </c>
      <c r="D27" s="17"/>
      <c r="E27" s="17"/>
      <c r="F27" s="17"/>
      <c r="G27" s="17"/>
      <c r="H27" s="17"/>
      <c r="I27" s="17"/>
      <c r="J27" s="17"/>
      <c r="K27" s="37"/>
    </row>
    <row r="28" spans="2:11" x14ac:dyDescent="0.2">
      <c r="B28" s="82" t="s">
        <v>159</v>
      </c>
      <c r="C28" s="92">
        <v>30</v>
      </c>
      <c r="D28" s="17" t="s">
        <v>160</v>
      </c>
      <c r="E28" s="17"/>
      <c r="F28" s="17"/>
      <c r="G28" s="17"/>
      <c r="H28" s="17"/>
      <c r="I28" s="17"/>
      <c r="J28" s="17"/>
      <c r="K28" s="37"/>
    </row>
    <row r="29" spans="2:11" x14ac:dyDescent="0.2">
      <c r="B29" s="82"/>
      <c r="C29" s="93"/>
      <c r="D29" s="17"/>
      <c r="E29" s="17"/>
      <c r="F29" s="17"/>
      <c r="G29" s="17"/>
      <c r="H29" s="17"/>
      <c r="I29" s="17"/>
      <c r="J29" s="17"/>
      <c r="K29" s="37"/>
    </row>
    <row r="30" spans="2:11" x14ac:dyDescent="0.2">
      <c r="B30" s="82" t="s">
        <v>161</v>
      </c>
      <c r="C30" s="83">
        <f>'Rehab Estimator'!O28</f>
        <v>27944.999999999996</v>
      </c>
      <c r="D30" s="17"/>
      <c r="E30" s="17"/>
      <c r="F30" s="17"/>
      <c r="G30" s="17"/>
      <c r="H30" s="17"/>
      <c r="I30" s="17"/>
      <c r="J30" s="17"/>
      <c r="K30" s="37"/>
    </row>
    <row r="31" spans="2:11" x14ac:dyDescent="0.2">
      <c r="B31" s="82" t="s">
        <v>162</v>
      </c>
      <c r="C31" s="83">
        <v>5000</v>
      </c>
      <c r="D31" s="17"/>
      <c r="E31" s="17"/>
      <c r="F31" s="17"/>
      <c r="G31" s="17"/>
      <c r="H31" s="17"/>
      <c r="I31" s="17"/>
      <c r="J31" s="17"/>
      <c r="K31" s="37"/>
    </row>
    <row r="32" spans="2:11" x14ac:dyDescent="0.2">
      <c r="B32" s="82"/>
      <c r="C32" s="84"/>
      <c r="D32" s="17"/>
      <c r="E32" s="17"/>
      <c r="F32" s="17"/>
      <c r="G32" s="17"/>
      <c r="H32" s="17"/>
      <c r="I32" s="17"/>
      <c r="J32" s="17"/>
      <c r="K32" s="37"/>
    </row>
    <row r="33" spans="2:11" x14ac:dyDescent="0.2">
      <c r="B33" s="82" t="s">
        <v>163</v>
      </c>
      <c r="C33" s="88">
        <v>0.03</v>
      </c>
      <c r="D33" s="17" t="s">
        <v>164</v>
      </c>
      <c r="E33" s="17"/>
      <c r="F33" s="17"/>
      <c r="G33" s="17"/>
      <c r="H33" s="17"/>
      <c r="I33" s="17"/>
      <c r="J33" s="17"/>
      <c r="K33" s="37"/>
    </row>
    <row r="34" spans="2:11" x14ac:dyDescent="0.2">
      <c r="B34" s="82"/>
      <c r="C34" s="88"/>
      <c r="D34" s="17"/>
      <c r="E34" s="17"/>
      <c r="F34" s="17"/>
      <c r="G34" s="17"/>
      <c r="H34" s="17"/>
      <c r="I34" s="17"/>
      <c r="J34" s="17"/>
      <c r="K34" s="37"/>
    </row>
    <row r="35" spans="2:11" x14ac:dyDescent="0.2">
      <c r="B35" s="82"/>
      <c r="C35" s="93"/>
      <c r="D35" s="17" t="s">
        <v>189</v>
      </c>
      <c r="F35" s="17"/>
      <c r="G35" s="17"/>
      <c r="H35" s="17"/>
      <c r="I35" s="17"/>
      <c r="J35" s="17"/>
      <c r="K35" s="37"/>
    </row>
    <row r="36" spans="2:11" x14ac:dyDescent="0.2">
      <c r="B36" s="82" t="s">
        <v>182</v>
      </c>
      <c r="C36" s="86">
        <v>225000</v>
      </c>
      <c r="D36" s="67">
        <f>(C36/'Flip Investor - 70% Rule'!D21)^(1/7)-1</f>
        <v>3.4106677701588595E-2</v>
      </c>
      <c r="F36" s="17"/>
      <c r="G36" s="17"/>
      <c r="H36" s="17"/>
      <c r="I36" s="17"/>
      <c r="J36" s="17"/>
      <c r="K36" s="37"/>
    </row>
    <row r="37" spans="2:11" x14ac:dyDescent="0.2">
      <c r="B37" s="82" t="s">
        <v>165</v>
      </c>
      <c r="C37" s="88">
        <v>0.06</v>
      </c>
      <c r="D37" s="17"/>
      <c r="E37" s="17"/>
      <c r="F37" s="17"/>
      <c r="G37" s="17"/>
      <c r="H37" s="17"/>
      <c r="I37" s="17"/>
      <c r="J37" s="17"/>
      <c r="K37" s="37"/>
    </row>
    <row r="38" spans="2:11" x14ac:dyDescent="0.2">
      <c r="B38" s="82"/>
      <c r="C38" s="17"/>
      <c r="D38" s="17"/>
      <c r="E38" s="17"/>
      <c r="F38" s="17"/>
      <c r="G38" s="17"/>
      <c r="H38" s="17"/>
      <c r="I38" s="17"/>
      <c r="J38" s="17"/>
      <c r="K38" s="37"/>
    </row>
    <row r="39" spans="2:11" x14ac:dyDescent="0.2">
      <c r="B39" s="82"/>
      <c r="C39" s="17"/>
      <c r="D39" s="17"/>
      <c r="E39" s="17"/>
      <c r="F39" s="17"/>
      <c r="G39" s="17"/>
      <c r="H39" s="17"/>
      <c r="I39" s="17"/>
      <c r="J39" s="17"/>
      <c r="K39" s="37"/>
    </row>
    <row r="40" spans="2:11" x14ac:dyDescent="0.2">
      <c r="B40" s="94" t="s">
        <v>166</v>
      </c>
      <c r="C40" s="64" t="s">
        <v>167</v>
      </c>
      <c r="D40" s="64">
        <v>1</v>
      </c>
      <c r="E40" s="64">
        <v>2</v>
      </c>
      <c r="F40" s="64">
        <v>3</v>
      </c>
      <c r="G40" s="64">
        <v>4</v>
      </c>
      <c r="H40" s="64">
        <v>5</v>
      </c>
      <c r="I40" s="64">
        <v>6</v>
      </c>
      <c r="J40" s="64">
        <v>7</v>
      </c>
      <c r="K40" s="37"/>
    </row>
    <row r="41" spans="2:11" x14ac:dyDescent="0.2">
      <c r="B41" s="95" t="s">
        <v>168</v>
      </c>
      <c r="C41" s="96"/>
      <c r="D41" s="97">
        <f>C15*12</f>
        <v>12600</v>
      </c>
      <c r="E41" s="98">
        <f>D41*(1+$C$33)</f>
        <v>12978</v>
      </c>
      <c r="F41" s="98">
        <f t="shared" ref="F41:J41" si="3">E41*(1+$C$33)</f>
        <v>13367.34</v>
      </c>
      <c r="G41" s="98">
        <f t="shared" si="3"/>
        <v>13768.360200000001</v>
      </c>
      <c r="H41" s="98">
        <f t="shared" si="3"/>
        <v>14181.411006000002</v>
      </c>
      <c r="I41" s="98">
        <f t="shared" si="3"/>
        <v>14606.853336180002</v>
      </c>
      <c r="J41" s="98">
        <f t="shared" si="3"/>
        <v>15045.058936265403</v>
      </c>
      <c r="K41" s="37"/>
    </row>
    <row r="42" spans="2:11" x14ac:dyDescent="0.2">
      <c r="B42" s="82"/>
      <c r="C42" s="17"/>
      <c r="D42" s="99"/>
      <c r="E42" s="17"/>
      <c r="F42" s="17"/>
      <c r="G42" s="17"/>
      <c r="H42" s="17"/>
      <c r="I42" s="17"/>
      <c r="J42" s="17"/>
      <c r="K42" s="37"/>
    </row>
    <row r="43" spans="2:11" x14ac:dyDescent="0.2">
      <c r="B43" s="82" t="s">
        <v>145</v>
      </c>
      <c r="C43" s="17"/>
      <c r="D43" s="100">
        <f>-($C$16/52)*D41</f>
        <v>-969.23076923076928</v>
      </c>
      <c r="E43" s="100">
        <f t="shared" ref="E43:J43" si="4">-($C$16/52)*E41</f>
        <v>-998.30769230769238</v>
      </c>
      <c r="F43" s="100">
        <f t="shared" si="4"/>
        <v>-1028.2569230769232</v>
      </c>
      <c r="G43" s="100">
        <f t="shared" si="4"/>
        <v>-1059.1046307692309</v>
      </c>
      <c r="H43" s="100">
        <f t="shared" si="4"/>
        <v>-1090.877769692308</v>
      </c>
      <c r="I43" s="100">
        <f t="shared" si="4"/>
        <v>-1123.6041027830772</v>
      </c>
      <c r="J43" s="100">
        <f t="shared" si="4"/>
        <v>-1157.3122258665694</v>
      </c>
      <c r="K43" s="37"/>
    </row>
    <row r="44" spans="2:11" x14ac:dyDescent="0.2">
      <c r="B44" s="82" t="s">
        <v>147</v>
      </c>
      <c r="C44" s="17"/>
      <c r="D44" s="100">
        <f>-C17</f>
        <v>-1275.1081255766564</v>
      </c>
      <c r="E44" s="100">
        <f>D44</f>
        <v>-1275.1081255766564</v>
      </c>
      <c r="F44" s="100">
        <f t="shared" ref="F44:J44" si="5">E44</f>
        <v>-1275.1081255766564</v>
      </c>
      <c r="G44" s="100">
        <f t="shared" si="5"/>
        <v>-1275.1081255766564</v>
      </c>
      <c r="H44" s="100">
        <f t="shared" si="5"/>
        <v>-1275.1081255766564</v>
      </c>
      <c r="I44" s="100">
        <f t="shared" si="5"/>
        <v>-1275.1081255766564</v>
      </c>
      <c r="J44" s="100">
        <f t="shared" si="5"/>
        <v>-1275.1081255766564</v>
      </c>
      <c r="K44" s="37"/>
    </row>
    <row r="45" spans="2:11" x14ac:dyDescent="0.2">
      <c r="B45" s="82" t="s">
        <v>149</v>
      </c>
      <c r="C45" s="17"/>
      <c r="D45" s="100">
        <f>-C18*12</f>
        <v>-1200</v>
      </c>
      <c r="E45" s="100">
        <f>D45*(1+$C$33)</f>
        <v>-1236</v>
      </c>
      <c r="F45" s="100">
        <f t="shared" ref="F45:J45" si="6">E45*(1+$C$33)</f>
        <v>-1273.08</v>
      </c>
      <c r="G45" s="100">
        <f t="shared" si="6"/>
        <v>-1311.2724000000001</v>
      </c>
      <c r="H45" s="100">
        <f t="shared" si="6"/>
        <v>-1350.610572</v>
      </c>
      <c r="I45" s="100">
        <f t="shared" si="6"/>
        <v>-1391.12888916</v>
      </c>
      <c r="J45" s="100">
        <f t="shared" si="6"/>
        <v>-1432.8627558348001</v>
      </c>
      <c r="K45" s="37"/>
    </row>
    <row r="46" spans="2:11" x14ac:dyDescent="0.2">
      <c r="B46" s="82" t="s">
        <v>151</v>
      </c>
      <c r="C46" s="17"/>
      <c r="D46" s="100">
        <f>-C19</f>
        <v>-450</v>
      </c>
      <c r="E46" s="100">
        <f>D46</f>
        <v>-450</v>
      </c>
      <c r="F46" s="100">
        <f t="shared" ref="F46:J46" si="7">E46</f>
        <v>-450</v>
      </c>
      <c r="G46" s="100">
        <f t="shared" si="7"/>
        <v>-450</v>
      </c>
      <c r="H46" s="100">
        <f t="shared" si="7"/>
        <v>-450</v>
      </c>
      <c r="I46" s="100">
        <f t="shared" si="7"/>
        <v>-450</v>
      </c>
      <c r="J46" s="100">
        <f t="shared" si="7"/>
        <v>-450</v>
      </c>
      <c r="K46" s="37"/>
    </row>
    <row r="47" spans="2:11" x14ac:dyDescent="0.2">
      <c r="B47" s="82" t="s">
        <v>169</v>
      </c>
      <c r="C47" s="17"/>
      <c r="D47" s="100">
        <f>-C20*12</f>
        <v>-600</v>
      </c>
      <c r="E47" s="100">
        <f>D47*(1+$C$33)</f>
        <v>-618</v>
      </c>
      <c r="F47" s="100">
        <f t="shared" ref="F47:J47" si="8">E47*(1+$C$33)</f>
        <v>-636.54</v>
      </c>
      <c r="G47" s="100">
        <f t="shared" si="8"/>
        <v>-655.63620000000003</v>
      </c>
      <c r="H47" s="100">
        <f t="shared" si="8"/>
        <v>-675.30528600000002</v>
      </c>
      <c r="I47" s="100">
        <f t="shared" si="8"/>
        <v>-695.56444457999999</v>
      </c>
      <c r="J47" s="100">
        <f t="shared" si="8"/>
        <v>-716.43137791740003</v>
      </c>
      <c r="K47" s="37"/>
    </row>
    <row r="48" spans="2:11" x14ac:dyDescent="0.2">
      <c r="B48" s="82"/>
      <c r="C48" s="17"/>
      <c r="D48" s="17"/>
      <c r="E48" s="17"/>
      <c r="F48" s="17"/>
      <c r="G48" s="17"/>
      <c r="H48" s="17"/>
      <c r="I48" s="17"/>
      <c r="J48" s="17"/>
      <c r="K48" s="37"/>
    </row>
    <row r="49" spans="2:11" x14ac:dyDescent="0.2">
      <c r="B49" s="95" t="s">
        <v>170</v>
      </c>
      <c r="C49" s="96"/>
      <c r="D49" s="97">
        <f>D41+SUM(D43:D47)</f>
        <v>8105.6611051925738</v>
      </c>
      <c r="E49" s="97">
        <f t="shared" ref="E49:J49" si="9">E41+SUM(E43:E47)</f>
        <v>8400.58418211565</v>
      </c>
      <c r="F49" s="97">
        <f t="shared" si="9"/>
        <v>8704.3549513464204</v>
      </c>
      <c r="G49" s="97">
        <f t="shared" si="9"/>
        <v>9017.238843654115</v>
      </c>
      <c r="H49" s="97">
        <f t="shared" si="9"/>
        <v>9339.5092527310371</v>
      </c>
      <c r="I49" s="97">
        <f t="shared" si="9"/>
        <v>9671.4477740802686</v>
      </c>
      <c r="J49" s="97">
        <f t="shared" si="9"/>
        <v>10013.344451069977</v>
      </c>
      <c r="K49" s="37"/>
    </row>
    <row r="50" spans="2:11" x14ac:dyDescent="0.2">
      <c r="B50" s="82" t="s">
        <v>184</v>
      </c>
      <c r="C50" s="17"/>
      <c r="D50" s="101">
        <v>0</v>
      </c>
      <c r="E50" s="101">
        <v>0</v>
      </c>
      <c r="F50" s="101">
        <v>0</v>
      </c>
      <c r="G50" s="101">
        <v>0</v>
      </c>
      <c r="H50" s="101">
        <v>0</v>
      </c>
      <c r="I50" s="101">
        <v>0</v>
      </c>
      <c r="J50" s="101">
        <f>C36*(1-C37)</f>
        <v>211500</v>
      </c>
      <c r="K50" s="37"/>
    </row>
    <row r="51" spans="2:11" x14ac:dyDescent="0.2">
      <c r="B51" s="82" t="s">
        <v>171</v>
      </c>
      <c r="C51" s="100">
        <f>-C30</f>
        <v>-27944.999999999996</v>
      </c>
      <c r="D51" s="100">
        <v>0</v>
      </c>
      <c r="E51" s="100">
        <v>0</v>
      </c>
      <c r="F51" s="100">
        <v>0</v>
      </c>
      <c r="G51" s="100">
        <v>0</v>
      </c>
      <c r="H51" s="100">
        <v>0</v>
      </c>
      <c r="I51" s="100">
        <v>0</v>
      </c>
      <c r="J51" s="100">
        <f>-C31</f>
        <v>-5000</v>
      </c>
      <c r="K51" s="37"/>
    </row>
    <row r="52" spans="2:11" x14ac:dyDescent="0.2">
      <c r="B52" s="82"/>
      <c r="C52" s="99"/>
      <c r="D52" s="101"/>
      <c r="E52" s="101"/>
      <c r="F52" s="101"/>
      <c r="G52" s="101"/>
      <c r="H52" s="101"/>
      <c r="I52" s="101"/>
      <c r="J52" s="101"/>
      <c r="K52" s="37"/>
    </row>
    <row r="53" spans="2:11" x14ac:dyDescent="0.2">
      <c r="B53" s="102" t="s">
        <v>172</v>
      </c>
      <c r="C53" s="103">
        <f>-SUM(C22,C23)+C51</f>
        <v>-138454.37088331021</v>
      </c>
      <c r="D53" s="104">
        <f t="shared" ref="D53:I53" si="10">D49</f>
        <v>8105.6611051925738</v>
      </c>
      <c r="E53" s="104">
        <f t="shared" si="10"/>
        <v>8400.58418211565</v>
      </c>
      <c r="F53" s="104">
        <f t="shared" si="10"/>
        <v>8704.3549513464204</v>
      </c>
      <c r="G53" s="104">
        <f t="shared" si="10"/>
        <v>9017.238843654115</v>
      </c>
      <c r="H53" s="104">
        <f t="shared" si="10"/>
        <v>9339.5092527310371</v>
      </c>
      <c r="I53" s="104">
        <f t="shared" si="10"/>
        <v>9671.4477740802686</v>
      </c>
      <c r="J53" s="104">
        <f>J49+J50+J51</f>
        <v>216513.34445106998</v>
      </c>
      <c r="K53" s="37"/>
    </row>
    <row r="54" spans="2:11" s="136" customFormat="1" x14ac:dyDescent="0.2">
      <c r="B54" s="138" t="s">
        <v>215</v>
      </c>
      <c r="C54" s="134"/>
      <c r="D54" s="137">
        <f>-D53/$C$53</f>
        <v>5.8543916334891664E-2</v>
      </c>
      <c r="E54" s="137">
        <f t="shared" ref="E54:I54" si="11">-E53/$C$53</f>
        <v>6.0674026601844802E-2</v>
      </c>
      <c r="F54" s="137">
        <f t="shared" si="11"/>
        <v>6.2868040176806542E-2</v>
      </c>
      <c r="G54" s="137">
        <f t="shared" si="11"/>
        <v>6.5127874159017149E-2</v>
      </c>
      <c r="H54" s="137">
        <f t="shared" si="11"/>
        <v>6.7455503160694041E-2</v>
      </c>
      <c r="I54" s="137">
        <f t="shared" si="11"/>
        <v>6.9852961032421251E-2</v>
      </c>
      <c r="J54" s="137"/>
      <c r="K54" s="135"/>
    </row>
    <row r="55" spans="2:11" x14ac:dyDescent="0.2">
      <c r="B55" s="82"/>
      <c r="C55" s="17"/>
      <c r="D55" s="17"/>
      <c r="E55" s="17"/>
      <c r="F55" s="17"/>
      <c r="G55" s="17"/>
      <c r="H55" s="17"/>
      <c r="I55" s="17"/>
      <c r="J55" s="17"/>
      <c r="K55" s="37"/>
    </row>
    <row r="56" spans="2:11" x14ac:dyDescent="0.2">
      <c r="B56" s="82" t="s">
        <v>173</v>
      </c>
      <c r="C56" s="17"/>
      <c r="D56" s="100">
        <f>PMT($C$27/12,$C28*12,$C$26)*12</f>
        <v>-4805.8153202138565</v>
      </c>
      <c r="E56" s="100">
        <f>D56</f>
        <v>-4805.8153202138565</v>
      </c>
      <c r="F56" s="100">
        <f t="shared" ref="F56:J56" si="12">E56</f>
        <v>-4805.8153202138565</v>
      </c>
      <c r="G56" s="100">
        <f t="shared" si="12"/>
        <v>-4805.8153202138565</v>
      </c>
      <c r="H56" s="100">
        <f t="shared" si="12"/>
        <v>-4805.8153202138565</v>
      </c>
      <c r="I56" s="100">
        <f t="shared" si="12"/>
        <v>-4805.8153202138565</v>
      </c>
      <c r="J56" s="100">
        <f t="shared" si="12"/>
        <v>-4805.8153202138565</v>
      </c>
      <c r="K56" s="37"/>
    </row>
    <row r="57" spans="2:11" x14ac:dyDescent="0.2">
      <c r="B57" s="82" t="s">
        <v>174</v>
      </c>
      <c r="C57" s="17"/>
      <c r="D57" s="100">
        <f>-C61*$C$27</f>
        <v>-3398.16315466179</v>
      </c>
      <c r="E57" s="100">
        <f t="shared" ref="E57:J57" si="13">-D61*$C$27</f>
        <v>-3340.4494158741554</v>
      </c>
      <c r="F57" s="100">
        <f t="shared" si="13"/>
        <v>-3280.3694137962275</v>
      </c>
      <c r="G57" s="100">
        <f t="shared" si="13"/>
        <v>-3217.8261316331045</v>
      </c>
      <c r="H57" s="100">
        <f t="shared" si="13"/>
        <v>-3152.7185749012933</v>
      </c>
      <c r="I57" s="100">
        <f t="shared" si="13"/>
        <v>-3084.941608343478</v>
      </c>
      <c r="J57" s="100">
        <f t="shared" si="13"/>
        <v>-3014.3857861567926</v>
      </c>
      <c r="K57" s="37"/>
    </row>
    <row r="58" spans="2:11" x14ac:dyDescent="0.2">
      <c r="B58" s="82" t="s">
        <v>175</v>
      </c>
      <c r="C58" s="17"/>
      <c r="D58" s="100">
        <f>D56-D57</f>
        <v>-1407.6521655520664</v>
      </c>
      <c r="E58" s="100">
        <f t="shared" ref="E58:J58" si="14">E56-E57</f>
        <v>-1465.365904339701</v>
      </c>
      <c r="F58" s="100">
        <f t="shared" si="14"/>
        <v>-1525.445906417629</v>
      </c>
      <c r="G58" s="100">
        <f t="shared" si="14"/>
        <v>-1587.9891885807519</v>
      </c>
      <c r="H58" s="100">
        <f t="shared" si="14"/>
        <v>-1653.0967453125631</v>
      </c>
      <c r="I58" s="100">
        <f t="shared" si="14"/>
        <v>-1720.8737118703784</v>
      </c>
      <c r="J58" s="100">
        <f t="shared" si="14"/>
        <v>-1791.4295340570638</v>
      </c>
      <c r="K58" s="37"/>
    </row>
    <row r="59" spans="2:11" x14ac:dyDescent="0.2">
      <c r="B59" s="82" t="s">
        <v>176</v>
      </c>
      <c r="C59" s="17"/>
      <c r="D59" s="101">
        <v>0</v>
      </c>
      <c r="E59" s="101">
        <v>0</v>
      </c>
      <c r="F59" s="101">
        <v>0</v>
      </c>
      <c r="G59" s="101">
        <v>0</v>
      </c>
      <c r="H59" s="101">
        <v>0</v>
      </c>
      <c r="I59" s="101">
        <v>0</v>
      </c>
      <c r="J59" s="99">
        <f>(I61+J58)</f>
        <v>71730.175006352511</v>
      </c>
      <c r="K59" s="37"/>
    </row>
    <row r="60" spans="2:11" x14ac:dyDescent="0.2">
      <c r="B60" s="82"/>
      <c r="C60" s="17"/>
      <c r="D60" s="17"/>
      <c r="E60" s="17"/>
      <c r="F60" s="17"/>
      <c r="G60" s="17"/>
      <c r="H60" s="17"/>
      <c r="I60" s="17"/>
      <c r="J60" s="17"/>
      <c r="K60" s="37"/>
    </row>
    <row r="61" spans="2:11" x14ac:dyDescent="0.2">
      <c r="B61" s="82" t="s">
        <v>177</v>
      </c>
      <c r="C61" s="99">
        <f>C26</f>
        <v>82882.028162482675</v>
      </c>
      <c r="D61" s="99">
        <f>C61+D58</f>
        <v>81474.375996930612</v>
      </c>
      <c r="E61" s="99">
        <f t="shared" ref="E61:I61" si="15">D61+E58</f>
        <v>80009.010092590906</v>
      </c>
      <c r="F61" s="99">
        <f t="shared" si="15"/>
        <v>78483.564186173273</v>
      </c>
      <c r="G61" s="99">
        <f t="shared" si="15"/>
        <v>76895.574997592514</v>
      </c>
      <c r="H61" s="99">
        <f t="shared" si="15"/>
        <v>75242.478252279951</v>
      </c>
      <c r="I61" s="99">
        <f t="shared" si="15"/>
        <v>73521.604540409578</v>
      </c>
      <c r="J61" s="99">
        <f>I61+J58-J59</f>
        <v>0</v>
      </c>
      <c r="K61" s="37"/>
    </row>
    <row r="62" spans="2:11" x14ac:dyDescent="0.2">
      <c r="B62" s="82"/>
      <c r="C62" s="17"/>
      <c r="D62" s="17"/>
      <c r="E62" s="17"/>
      <c r="F62" s="17"/>
      <c r="G62" s="17"/>
      <c r="H62" s="17"/>
      <c r="I62" s="17"/>
      <c r="J62" s="17"/>
      <c r="K62" s="37"/>
    </row>
    <row r="63" spans="2:11" x14ac:dyDescent="0.2">
      <c r="B63" s="102" t="s">
        <v>178</v>
      </c>
      <c r="C63" s="104">
        <f>-D25</f>
        <v>-60572.342720827553</v>
      </c>
      <c r="D63" s="104">
        <f>D53+D56</f>
        <v>3299.8457849787173</v>
      </c>
      <c r="E63" s="104">
        <f t="shared" ref="E63:I63" si="16">E53+E56</f>
        <v>3594.7688619017936</v>
      </c>
      <c r="F63" s="104">
        <f t="shared" si="16"/>
        <v>3898.539631132564</v>
      </c>
      <c r="G63" s="104">
        <f t="shared" si="16"/>
        <v>4211.4235234402586</v>
      </c>
      <c r="H63" s="104">
        <f t="shared" si="16"/>
        <v>4533.6939325171807</v>
      </c>
      <c r="I63" s="104">
        <f t="shared" si="16"/>
        <v>4865.6324538664121</v>
      </c>
      <c r="J63" s="104">
        <f>J53+J56-J59</f>
        <v>139977.35412450362</v>
      </c>
      <c r="K63" s="37"/>
    </row>
    <row r="64" spans="2:11" ht="17" thickBot="1" x14ac:dyDescent="0.25">
      <c r="B64" s="105" t="s">
        <v>214</v>
      </c>
      <c r="C64" s="106"/>
      <c r="D64" s="139">
        <f>-D63/$C$63</f>
        <v>5.4477763889493394E-2</v>
      </c>
      <c r="E64" s="139">
        <f t="shared" ref="E64:I64" si="17">-E63/$C$63</f>
        <v>5.9346703469432542E-2</v>
      </c>
      <c r="F64" s="139">
        <f t="shared" si="17"/>
        <v>6.4361711236769897E-2</v>
      </c>
      <c r="G64" s="139">
        <f t="shared" si="17"/>
        <v>6.9527169237127387E-2</v>
      </c>
      <c r="H64" s="139">
        <f t="shared" si="17"/>
        <v>7.4847590977495548E-2</v>
      </c>
      <c r="I64" s="139">
        <f t="shared" si="17"/>
        <v>8.032762537007479E-2</v>
      </c>
      <c r="J64" s="106"/>
      <c r="K64" s="107"/>
    </row>
  </sheetData>
  <mergeCells count="1">
    <mergeCell ref="D2:J2"/>
  </mergeCells>
  <phoneticPr fontId="12" type="noConversion"/>
  <pageMargins left="0.75" right="0.75" top="1" bottom="1" header="0.5" footer="0.5"/>
  <pageSetup scale="44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Rehab Estimator</vt:lpstr>
      <vt:lpstr>ARV Calc</vt:lpstr>
      <vt:lpstr>MAO Calc</vt:lpstr>
      <vt:lpstr>Flip Investor - 70% Rule</vt:lpstr>
      <vt:lpstr>Flip Investor -Fixed Costs</vt:lpstr>
      <vt:lpstr>Buy &amp; Hold Investor Economics</vt:lpstr>
      <vt:lpstr>'Buy &amp; Hold Investor Economics'!Print_Area</vt:lpstr>
      <vt:lpstr>'Flip Investor - 70% Rule'!Print_Area</vt:lpstr>
      <vt:lpstr>'Flip Investor -Fixed Costs'!Print_Area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 Coast Innovators, LLC</dc:creator>
  <cp:lastModifiedBy>Symon He</cp:lastModifiedBy>
  <cp:lastPrinted>2017-05-26T23:12:27Z</cp:lastPrinted>
  <dcterms:created xsi:type="dcterms:W3CDTF">2017-04-27T23:39:13Z</dcterms:created>
  <dcterms:modified xsi:type="dcterms:W3CDTF">2019-02-11T23:37:45Z</dcterms:modified>
</cp:coreProperties>
</file>